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3 Marzo\"/>
    </mc:Choice>
  </mc:AlternateContent>
  <xr:revisionPtr revIDLastSave="0" documentId="13_ncr:1_{44D0940A-1714-4B18-A139-E8A0AACDBE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I57" i="1" l="1"/>
  <c r="H57" i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1" i="2" s="1"/>
  <c r="G32" i="2"/>
  <c r="G28" i="2"/>
  <c r="D28" i="2" l="1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F57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3" i="1" l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<sst xmlns="http://schemas.openxmlformats.org/spreadsheetml/2006/main" count="308" uniqueCount="132">
  <si>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</si>
  <si>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</si>
  <si>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</si>
  <si>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</si>
  <si>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</si>
  <si>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</si>
  <si>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</si>
  <si>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</si>
  <si>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</si>
  <si>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</si>
  <si>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</si>
  <si>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</si>
  <si>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</si>
  <si>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</si>
  <si>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</si>
  <si>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</si>
  <si>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</si>
  <si>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</si>
  <si>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</si>
  <si>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</si>
  <si>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</si>
  <si>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</si>
  <si>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</si>
  <si>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</si>
  <si>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</si>
  <si>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</si>
  <si>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</si>
  <si>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</si>
  <si>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</si>
  <si>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</si>
  <si>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</si>
  <si>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</si>
  <si>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</si>
  <si>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</si>
  <si>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</si>
  <si>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</si>
  <si>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</si>
  <si>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</si>
  <si>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</si>
  <si>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</si>
  <si>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</si>
  <si>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</si>
  <si>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</si>
  <si>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</si>
  <si>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</si>
  <si>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</si>
  <si>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</si>
  <si>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</si>
  <si>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</si>
  <si>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</si>
  <si>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</si>
  <si>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</si>
  <si>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</si>
  <si>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</si>
  <si>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</si>
  <si>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</si>
  <si>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</si>
  <si>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</si>
  <si>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</si>
  <si>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</si>
  <si>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</si>
  <si>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</si>
  <si>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</si>
  <si>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</si>
  <si>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</si>
  <si>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</si>
  <si>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</si>
  <si>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</si>
  <si>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</si>
  <si>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</si>
  <si>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</si>
  <si>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</si>
  <si>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</si>
  <si>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</si>
  <si>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</si>
  <si>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</si>
  <si>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</si>
  <si>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</si>
  <si>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</si>
  <si>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</si>
  <si>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</si>
  <si>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</si>
  <si>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</si>
  <si>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</si>
  <si>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</si>
  <si>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</si>
  <si>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</si>
  <si>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</si>
  <si>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</si>
  <si>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</si>
  <si>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</si>
  <si>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</si>
  <si>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</si>
  <si>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</si>
  <si>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</si>
  <si>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</si>
  <si>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</si>
  <si>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</si>
  <si>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</si>
  <si>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</si>
  <si>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</si>
  <si>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</si>
  <si>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</si>
  <si>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</si>
  <si>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</si>
  <si>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</si>
  <si>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</si>
  <si>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</si>
  <si>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</si>
  <si>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</si>
  <si>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</si>
  <si>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</si>
  <si>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</si>
  <si>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</si>
  <si>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</si>
  <si>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</si>
  <si>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</si>
  <si>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Febrero</t>
  </si>
  <si>
    <t>Enero - Febrero</t>
  </si>
  <si>
    <t>Feb-19</t>
  </si>
  <si>
    <t>Cuadro N° 8: Producción de energía eléctrica nacional por zona del país, al mes de febrero</t>
  </si>
  <si>
    <t>1. RESUMEN NACIONAL AL MES DE FEBRERO 2021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</si>
  <si>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</si>
  <si>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</si>
  <si>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</si>
  <si>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</si>
  <si>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</si>
  <si>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</si>
  <si>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Grafico N° 11: Generación de energía eléctrica por Región, al mes de febrero 2021</t>
  </si>
  <si>
    <t>3.1 Producción de energía eléctrica (GWh) nacional según zona 2021 vs 2020</t>
  </si>
  <si>
    <t>3.2 Producción de energía eléctrica (GWh) por origen y zona al mes de febrero 2021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</si>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</sst>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3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28" xfId="0" applyNumberFormat="1" applyFont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60" xfId="0" applyNumberFormat="1" applyFont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178" fontId="76" fillId="68" borderId="32" xfId="33743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82" fontId="99" fillId="0" borderId="87" xfId="0" applyNumberFormat="1" applyFont="1" applyBorder="1"/>
    <xf numFmtId="182" fontId="99" fillId="0" borderId="108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67" fontId="0" fillId="68" borderId="84" xfId="0" applyNumberFormat="1" applyFont="1" applyFill="1" applyBorder="1" applyAlignment="1">
      <alignment vertical="center"/>
    </xf>
    <xf numFmtId="4" fontId="99" fillId="0" borderId="78" xfId="0" applyNumberFormat="1" applyFont="1" applyBorder="1"/>
    <xf numFmtId="4" fontId="99" fillId="0" borderId="108" xfId="0" applyNumberFormat="1" applyFont="1" applyBorder="1"/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Febrero 2021</a:t>
            </a:r>
          </a:p>
          <a:p>
            <a:pPr>
              <a:defRPr sz="800" b="1"/>
            </a:pPr>
            <a:r>
              <a:rPr lang="es-PE" sz="800" b="1"/>
              <a:t>Total : 4 445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50.646984375151796</c:v>
                </c:pt>
                <c:pt idx="1">
                  <c:v>119.88158254455124</c:v>
                </c:pt>
                <c:pt idx="2">
                  <c:v>2961.3702001070328</c:v>
                </c:pt>
                <c:pt idx="3">
                  <c:v>1134.7321559172667</c:v>
                </c:pt>
                <c:pt idx="4">
                  <c:v>177.92096716500004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2478.8901428288382</c:v>
                </c:pt>
                <c:pt idx="2" formatCode="_ * #,##0.00_ ;_ * \-#,##0.00_ ;_ * &quot;-&quot;??_ ;_ @_ ">
                  <c:v>6.4619999999999999E-3</c:v>
                </c:pt>
                <c:pt idx="3">
                  <c:v>1063.4158662002433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48.747541810000001</c:v>
                </c:pt>
                <c:pt idx="1">
                  <c:v>394.57425116716621</c:v>
                </c:pt>
                <c:pt idx="2">
                  <c:v>63.767898840000001</c:v>
                </c:pt>
                <c:pt idx="3">
                  <c:v>46.394722061549082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3539.7999600975004</c:v>
                </c:pt>
                <c:pt idx="1">
                  <c:v>546.62020065650154</c:v>
                </c:pt>
                <c:pt idx="2">
                  <c:v>324.43172935499996</c:v>
                </c:pt>
                <c:pt idx="3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CAJAMARCA</c:v>
                </c:pt>
                <c:pt idx="7">
                  <c:v>PUNO</c:v>
                </c:pt>
                <c:pt idx="8">
                  <c:v>CALLAO</c:v>
                </c:pt>
                <c:pt idx="9">
                  <c:v>PIURA</c:v>
                </c:pt>
                <c:pt idx="10">
                  <c:v>AREQUIPA</c:v>
                </c:pt>
                <c:pt idx="11">
                  <c:v>PASCO</c:v>
                </c:pt>
                <c:pt idx="12">
                  <c:v>LA LIBERTAD</c:v>
                </c:pt>
                <c:pt idx="13">
                  <c:v>ICA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APURIMAC</c:v>
                </c:pt>
                <c:pt idx="20">
                  <c:v>SAN MARTÍN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1587.1743247049994</c:v>
                </c:pt>
                <c:pt idx="1">
                  <c:v>915.46672577250081</c:v>
                </c:pt>
                <c:pt idx="2">
                  <c:v>301.94068534750005</c:v>
                </c:pt>
                <c:pt idx="3">
                  <c:v>293.73935045750022</c:v>
                </c:pt>
                <c:pt idx="4">
                  <c:v>221.12992778499992</c:v>
                </c:pt>
                <c:pt idx="5">
                  <c:v>182.35275319749996</c:v>
                </c:pt>
                <c:pt idx="6">
                  <c:v>119.3992146775</c:v>
                </c:pt>
                <c:pt idx="7">
                  <c:v>115.74896508249998</c:v>
                </c:pt>
                <c:pt idx="8">
                  <c:v>112.65234506499999</c:v>
                </c:pt>
                <c:pt idx="9">
                  <c:v>102.41703495499998</c:v>
                </c:pt>
                <c:pt idx="10">
                  <c:v>96.17439108500011</c:v>
                </c:pt>
                <c:pt idx="11">
                  <c:v>93.249303820000009</c:v>
                </c:pt>
                <c:pt idx="12">
                  <c:v>89.884203130000003</c:v>
                </c:pt>
                <c:pt idx="13">
                  <c:v>79.604988784001591</c:v>
                </c:pt>
                <c:pt idx="14">
                  <c:v>56.121379785000009</c:v>
                </c:pt>
                <c:pt idx="15">
                  <c:v>33.700000000000003</c:v>
                </c:pt>
                <c:pt idx="16">
                  <c:v>14.447297144999999</c:v>
                </c:pt>
                <c:pt idx="17">
                  <c:v>11.426596437499995</c:v>
                </c:pt>
                <c:pt idx="18">
                  <c:v>5.2032265925000001</c:v>
                </c:pt>
                <c:pt idx="19">
                  <c:v>4.0529999999999999</c:v>
                </c:pt>
                <c:pt idx="20">
                  <c:v>3.32</c:v>
                </c:pt>
                <c:pt idx="21">
                  <c:v>3.1074999999999999</c:v>
                </c:pt>
                <c:pt idx="22">
                  <c:v>1.1005499999999999</c:v>
                </c:pt>
                <c:pt idx="23">
                  <c:v>1.0249999999999999</c:v>
                </c:pt>
                <c:pt idx="24">
                  <c:v>0.11312628499999999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MX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MX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3150.1112654082926</c:v>
                </c:pt>
                <c:pt idx="1">
                  <c:v>1411.7980747381191</c:v>
                </c:pt>
                <c:pt idx="2">
                  <c:v>124.3233009075</c:v>
                </c:pt>
                <c:pt idx="3">
                  <c:v>54.235343817500002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3012.0171844821848</c:v>
                </c:pt>
                <c:pt idx="1">
                  <c:v>1254.613738461818</c:v>
                </c:pt>
                <c:pt idx="2">
                  <c:v>114.15306832500002</c:v>
                </c:pt>
                <c:pt idx="3">
                  <c:v>63.767898840000001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212.49038461017267</c:v>
                </c:pt>
                <c:pt idx="1">
                  <c:v>166.87984155734239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4527.9776002612389</c:v>
                </c:pt>
                <c:pt idx="1">
                  <c:v>4277.6720485516607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2932.2803349807928</c:v>
                </c:pt>
                <c:pt idx="1">
                  <c:v>2785.0432847071847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1370.7681204831192</c:v>
                </c:pt>
                <c:pt idx="1">
                  <c:v>1216.9338975254036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217.83093042750011</c:v>
                </c:pt>
                <c:pt idx="1">
                  <c:v>226.97389977500001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219.58859897999997</c:v>
                </c:pt>
                <c:pt idx="1">
                  <c:v>215.60080810141426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3012.0171844821848</c:v>
                </c:pt>
                <c:pt idx="1">
                  <c:v>1124.1339096617887</c:v>
                </c:pt>
                <c:pt idx="2">
                  <c:v>92.560224698525417</c:v>
                </c:pt>
                <c:pt idx="3">
                  <c:v>37.679840936414223</c:v>
                </c:pt>
                <c:pt idx="4">
                  <c:v>114.15306832500002</c:v>
                </c:pt>
                <c:pt idx="5">
                  <c:v>63.767898840000001</c:v>
                </c:pt>
                <c:pt idx="6" formatCode="#,##0.0">
                  <c:v>0.23976316508910248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4520.8793858914114</c:v>
                </c:pt>
                <c:pt idx="1">
                  <c:v>4228.9510820075884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219.58859897999997</c:v>
                </c:pt>
                <c:pt idx="1">
                  <c:v>215.60080810141426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716549030166E-2"/>
                  <c:y val="-3.52860002501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4.6322135215507945E-2</c:v>
                </c:pt>
                <c:pt idx="1">
                  <c:v>4.8509009104206149E-2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3150.1112654082926</c:v>
                </c:pt>
                <c:pt idx="1">
                  <c:v>1261.3282941649998</c:v>
                </c:pt>
                <c:pt idx="2">
                  <c:v>109.16482631811959</c:v>
                </c:pt>
                <c:pt idx="3" formatCode="#,##0.00">
                  <c:v>0.27500000000000002</c:v>
                </c:pt>
                <c:pt idx="4">
                  <c:v>41.029954254999979</c:v>
                </c:pt>
                <c:pt idx="5">
                  <c:v>124.3233009075</c:v>
                </c:pt>
                <c:pt idx="6">
                  <c:v>54.235343817500002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3012.0171844821848</c:v>
                </c:pt>
                <c:pt idx="1">
                  <c:v>1124.1339096617887</c:v>
                </c:pt>
                <c:pt idx="2">
                  <c:v>92.560224698525417</c:v>
                </c:pt>
                <c:pt idx="3" formatCode="#,##0.00">
                  <c:v>0.23976316508910248</c:v>
                </c:pt>
                <c:pt idx="4">
                  <c:v>37.679840936414223</c:v>
                </c:pt>
                <c:pt idx="5">
                  <c:v>114.15306832500002</c:v>
                </c:pt>
                <c:pt idx="6">
                  <c:v>63.767898840000001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65.40552651500002</c:v>
                </c:pt>
                <c:pt idx="1">
                  <c:v>138.5527904861805</c:v>
                </c:pt>
                <c:pt idx="2">
                  <c:v>0</c:v>
                </c:pt>
                <c:pt idx="3">
                  <c:v>111.10315020002542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febrero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L53" sqref="L53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5.66406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121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6" t="s">
        <v>64</v>
      </c>
      <c r="R11" s="146" t="s">
        <v>41</v>
      </c>
      <c r="S11" s="147">
        <f>E12</f>
        <v>50.646984375151796</v>
      </c>
    </row>
    <row r="12" spans="2:19" s="1" customFormat="1">
      <c r="B12" s="8"/>
      <c r="C12" s="137" t="s">
        <v>66</v>
      </c>
      <c r="D12" s="138">
        <v>2961.3702001070328</v>
      </c>
      <c r="E12" s="139">
        <v>50.646984375151796</v>
      </c>
      <c r="F12" s="140">
        <f>SUM(D12:E12)</f>
        <v>3012.0171844821848</v>
      </c>
      <c r="G12" s="343">
        <f>(F12/F$16)</f>
        <v>0.6776874832275418</v>
      </c>
      <c r="H12" s="9"/>
      <c r="I12" s="9"/>
      <c r="J12" s="9"/>
      <c r="K12" s="9"/>
      <c r="Q12" s="376"/>
      <c r="R12" s="146" t="s">
        <v>73</v>
      </c>
      <c r="S12" s="147">
        <f>E13</f>
        <v>119.88158254455124</v>
      </c>
    </row>
    <row r="13" spans="2:19" s="1" customFormat="1">
      <c r="B13" s="8"/>
      <c r="C13" s="137" t="s">
        <v>65</v>
      </c>
      <c r="D13" s="138">
        <v>1134.7321559172667</v>
      </c>
      <c r="E13" s="139">
        <v>119.88158254455124</v>
      </c>
      <c r="F13" s="140">
        <f>SUM(D13:E13)</f>
        <v>1254.613738461818</v>
      </c>
      <c r="G13" s="343">
        <f>(F13/F$16)</f>
        <v>0.28228126692678762</v>
      </c>
      <c r="H13" s="9"/>
      <c r="I13" s="9"/>
      <c r="J13" s="9"/>
      <c r="K13" s="9"/>
      <c r="Q13" s="376" t="s">
        <v>88</v>
      </c>
      <c r="R13" s="146" t="s">
        <v>41</v>
      </c>
      <c r="S13" s="147">
        <f>D12</f>
        <v>2961.3702001070328</v>
      </c>
    </row>
    <row r="14" spans="2:19" s="1" customFormat="1">
      <c r="B14" s="8"/>
      <c r="C14" s="137" t="s">
        <v>67</v>
      </c>
      <c r="D14" s="138">
        <v>114.15306832500002</v>
      </c>
      <c r="E14" s="141"/>
      <c r="F14" s="140">
        <f>SUM(D14:E14)</f>
        <v>114.15306832500002</v>
      </c>
      <c r="G14" s="343">
        <f>(F14/F$16)</f>
        <v>2.5683819459738695E-2</v>
      </c>
      <c r="H14" s="9"/>
      <c r="I14" s="9"/>
      <c r="J14" s="9"/>
      <c r="K14" s="9"/>
      <c r="Q14" s="376"/>
      <c r="R14" s="146" t="s">
        <v>73</v>
      </c>
      <c r="S14" s="147">
        <f>D13</f>
        <v>1134.7321559172667</v>
      </c>
    </row>
    <row r="15" spans="2:19" s="1" customFormat="1" ht="13.8" thickBot="1">
      <c r="B15" s="8"/>
      <c r="C15" s="142" t="s">
        <v>5</v>
      </c>
      <c r="D15" s="143">
        <v>63.767898840000001</v>
      </c>
      <c r="E15" s="144"/>
      <c r="F15" s="145">
        <f>SUM(D15:E15)</f>
        <v>63.767898840000001</v>
      </c>
      <c r="G15" s="344">
        <f>(F15/F$16)</f>
        <v>1.434743038593168E-2</v>
      </c>
      <c r="H15" s="9"/>
      <c r="I15" s="9"/>
      <c r="J15" s="9"/>
      <c r="K15" s="9"/>
      <c r="Q15" s="376"/>
      <c r="R15" s="146" t="s">
        <v>87</v>
      </c>
      <c r="S15" s="147">
        <f>SUM(D14:D15)</f>
        <v>177.92096716500004</v>
      </c>
    </row>
    <row r="16" spans="2:19" s="1" customFormat="1" ht="13.8" thickTop="1">
      <c r="B16" s="8"/>
      <c r="C16" s="249" t="s">
        <v>71</v>
      </c>
      <c r="D16" s="250">
        <f>SUM(D12:D15)</f>
        <v>4274.0233231892998</v>
      </c>
      <c r="E16" s="251">
        <f>SUM(E12:E15)</f>
        <v>170.52856691970302</v>
      </c>
      <c r="F16" s="252">
        <f>SUM(F12:F15)</f>
        <v>4444.5518901090036</v>
      </c>
      <c r="G16" s="253"/>
      <c r="H16" s="9"/>
      <c r="I16" s="9"/>
      <c r="J16" s="9"/>
      <c r="K16" s="9"/>
    </row>
    <row r="17" spans="2:19" s="1" customFormat="1">
      <c r="B17" s="8"/>
      <c r="C17" s="254" t="s">
        <v>109</v>
      </c>
      <c r="D17" s="322">
        <f>D16/F16</f>
        <v>0.96163199999999971</v>
      </c>
      <c r="E17" s="323">
        <f>E16/F16</f>
        <v>3.8368000000000173E-2</v>
      </c>
      <c r="F17" s="255"/>
      <c r="G17" s="256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122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72" t="s">
        <v>112</v>
      </c>
      <c r="D23" s="373"/>
      <c r="E23" s="377" t="s">
        <v>117</v>
      </c>
      <c r="F23" s="378"/>
      <c r="G23" s="151" t="s">
        <v>74</v>
      </c>
      <c r="H23" s="379" t="s">
        <v>118</v>
      </c>
      <c r="I23" s="380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7">
        <v>2020</v>
      </c>
      <c r="I24" s="155">
        <v>2021</v>
      </c>
      <c r="J24" s="156"/>
      <c r="K24" s="9"/>
      <c r="Q24" s="146" t="s">
        <v>76</v>
      </c>
      <c r="R24" s="147">
        <f>E29</f>
        <v>212.49038461017267</v>
      </c>
      <c r="S24" s="147">
        <f>F29</f>
        <v>166.87984155734239</v>
      </c>
    </row>
    <row r="25" spans="2:19" s="1" customFormat="1">
      <c r="B25" s="8"/>
      <c r="C25" s="368" t="s">
        <v>0</v>
      </c>
      <c r="D25" s="369"/>
      <c r="E25" s="191">
        <f>SUM(E26:E28)</f>
        <v>4527.9776002612389</v>
      </c>
      <c r="F25" s="192">
        <f>SUM(F26:F28)</f>
        <v>4277.6720485516607</v>
      </c>
      <c r="G25" s="193">
        <f>((F25/E25)-1)</f>
        <v>-5.5279768101135662E-2</v>
      </c>
      <c r="H25" s="238">
        <f>SUM(H26:H28)</f>
        <v>9271.8140390413155</v>
      </c>
      <c r="I25" s="192">
        <f>SUM(I26:I28)</f>
        <v>8967.924507581658</v>
      </c>
      <c r="J25" s="193">
        <f>((I25/H25)-1)</f>
        <v>-3.2775628391602085E-2</v>
      </c>
      <c r="K25" s="9"/>
      <c r="Q25" s="146" t="s">
        <v>0</v>
      </c>
      <c r="R25" s="147">
        <f>E25</f>
        <v>4527.9776002612389</v>
      </c>
      <c r="S25" s="147">
        <f>F25</f>
        <v>4277.6720485516607</v>
      </c>
    </row>
    <row r="26" spans="2:19" s="1" customFormat="1">
      <c r="B26" s="8"/>
      <c r="C26" s="269" t="s">
        <v>62</v>
      </c>
      <c r="D26" s="278" t="s">
        <v>102</v>
      </c>
      <c r="E26" s="158">
        <v>4397.7868652275001</v>
      </c>
      <c r="F26" s="159">
        <v>4154.3506701399992</v>
      </c>
      <c r="G26" s="160">
        <f t="shared" ref="G26:G32" si="0">((F26/E26)-1)</f>
        <v>-5.535425034175856E-2</v>
      </c>
      <c r="H26" s="239">
        <v>9001.6089232899994</v>
      </c>
      <c r="I26" s="159">
        <v>8711.7892750924966</v>
      </c>
      <c r="J26" s="160">
        <f t="shared" ref="J26:J32" si="1">((I26/H26)-1)</f>
        <v>-3.2196427401733452E-2</v>
      </c>
      <c r="K26" s="9"/>
    </row>
    <row r="27" spans="2:19" s="1" customFormat="1">
      <c r="B27" s="8"/>
      <c r="C27" s="270" t="s">
        <v>106</v>
      </c>
      <c r="D27" s="279" t="s">
        <v>77</v>
      </c>
      <c r="E27" s="272">
        <v>81.827693016992029</v>
      </c>
      <c r="F27" s="273">
        <v>78.983951012538284</v>
      </c>
      <c r="G27" s="282">
        <f t="shared" si="0"/>
        <v>-3.4752806777324396E-2</v>
      </c>
      <c r="H27" s="274">
        <v>169.84468400879203</v>
      </c>
      <c r="I27" s="273">
        <v>160.32779970003833</v>
      </c>
      <c r="J27" s="282">
        <f t="shared" si="1"/>
        <v>-5.6032865345735927E-2</v>
      </c>
      <c r="K27" s="9"/>
    </row>
    <row r="28" spans="2:19" s="1" customFormat="1">
      <c r="B28" s="8"/>
      <c r="C28" s="271" t="s">
        <v>64</v>
      </c>
      <c r="D28" s="280" t="s">
        <v>77</v>
      </c>
      <c r="E28" s="158">
        <v>48.363042016746554</v>
      </c>
      <c r="F28" s="159">
        <v>44.337427399122795</v>
      </c>
      <c r="G28" s="281">
        <f t="shared" si="0"/>
        <v>-8.3237415384868063E-2</v>
      </c>
      <c r="H28" s="239">
        <v>100.3604317425242</v>
      </c>
      <c r="I28" s="159">
        <v>95.807432789122799</v>
      </c>
      <c r="J28" s="281">
        <f t="shared" si="1"/>
        <v>-4.5366474359956555E-2</v>
      </c>
      <c r="K28" s="9"/>
    </row>
    <row r="29" spans="2:19" s="1" customFormat="1">
      <c r="B29" s="8"/>
      <c r="C29" s="368" t="s">
        <v>76</v>
      </c>
      <c r="D29" s="369"/>
      <c r="E29" s="191">
        <f>SUM(E30:E31)</f>
        <v>212.49038461017267</v>
      </c>
      <c r="F29" s="192">
        <f>SUM(F30:F31)</f>
        <v>166.87984155734239</v>
      </c>
      <c r="G29" s="193">
        <f t="shared" si="0"/>
        <v>-0.21464756222501913</v>
      </c>
      <c r="H29" s="238">
        <f>SUM(H30:H31)</f>
        <v>438.15522113640134</v>
      </c>
      <c r="I29" s="192">
        <f>SUM(I30:I31)</f>
        <v>345.26421814071847</v>
      </c>
      <c r="J29" s="193">
        <f t="shared" si="1"/>
        <v>-0.21200478395478284</v>
      </c>
      <c r="K29" s="9"/>
      <c r="Q29" s="146"/>
      <c r="R29" s="146"/>
      <c r="S29" s="146"/>
    </row>
    <row r="30" spans="2:19" s="1" customFormat="1">
      <c r="B30" s="8"/>
      <c r="C30" s="275" t="s">
        <v>68</v>
      </c>
      <c r="D30" s="153"/>
      <c r="E30" s="158">
        <v>41.078751228800016</v>
      </c>
      <c r="F30" s="159">
        <v>40.688702036762145</v>
      </c>
      <c r="G30" s="281">
        <f t="shared" si="0"/>
        <v>-9.4951569940716629E-3</v>
      </c>
      <c r="H30" s="239">
        <v>84.515973008800003</v>
      </c>
      <c r="I30" s="159">
        <v>83.015148946762153</v>
      </c>
      <c r="J30" s="341">
        <f t="shared" si="1"/>
        <v>-1.7757874737850843E-2</v>
      </c>
      <c r="K30" s="9"/>
    </row>
    <row r="31" spans="2:19" s="1" customFormat="1" ht="13.8" thickBot="1">
      <c r="B31" s="8"/>
      <c r="C31" s="276" t="s">
        <v>64</v>
      </c>
      <c r="D31" s="277"/>
      <c r="E31" s="162">
        <v>171.41163338137264</v>
      </c>
      <c r="F31" s="163">
        <v>126.19113952058024</v>
      </c>
      <c r="G31" s="164">
        <f t="shared" si="0"/>
        <v>-0.26381228023293857</v>
      </c>
      <c r="H31" s="240">
        <v>353.63924812760132</v>
      </c>
      <c r="I31" s="163">
        <v>262.2490691939563</v>
      </c>
      <c r="J31" s="306">
        <f t="shared" si="1"/>
        <v>-0.25842770398796144</v>
      </c>
      <c r="K31" s="9"/>
    </row>
    <row r="32" spans="2:19" s="1" customFormat="1" ht="14.4" thickTop="1" thickBot="1">
      <c r="B32" s="8"/>
      <c r="C32" s="370" t="s">
        <v>108</v>
      </c>
      <c r="D32" s="371"/>
      <c r="E32" s="194">
        <f>SUM(E25,E29)</f>
        <v>4740.4679848714113</v>
      </c>
      <c r="F32" s="195">
        <f>SUM(F25,F29)</f>
        <v>4444.5518901090036</v>
      </c>
      <c r="G32" s="196">
        <f t="shared" si="0"/>
        <v>-6.2423392733963357E-2</v>
      </c>
      <c r="H32" s="241">
        <f>SUM(H25,H29)</f>
        <v>9709.9692601777169</v>
      </c>
      <c r="I32" s="195">
        <f>SUM(I25,I29)</f>
        <v>9313.1887257223771</v>
      </c>
      <c r="J32" s="196">
        <f t="shared" si="1"/>
        <v>-4.0863212212484123E-2</v>
      </c>
      <c r="K32" s="9"/>
    </row>
    <row r="33" spans="2:19" s="1" customFormat="1">
      <c r="B33" s="8"/>
      <c r="C33" s="317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123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7" t="s">
        <v>117</v>
      </c>
      <c r="F38" s="378"/>
      <c r="G38" s="374" t="s">
        <v>74</v>
      </c>
      <c r="H38" s="379" t="s">
        <v>118</v>
      </c>
      <c r="I38" s="380"/>
      <c r="J38" s="374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5"/>
      <c r="H39" s="242">
        <v>2020</v>
      </c>
      <c r="I39" s="94">
        <v>2021</v>
      </c>
      <c r="J39" s="375"/>
      <c r="K39" s="9"/>
      <c r="Q39" s="146" t="s">
        <v>66</v>
      </c>
      <c r="R39" s="147">
        <f>SUM(E41,E46)</f>
        <v>3150.1112654082926</v>
      </c>
      <c r="S39" s="147">
        <f>SUM(F41,F46)</f>
        <v>3012.0171844821848</v>
      </c>
    </row>
    <row r="40" spans="2:19" s="1" customFormat="1">
      <c r="B40" s="8"/>
      <c r="C40" s="368" t="s">
        <v>68</v>
      </c>
      <c r="D40" s="369"/>
      <c r="E40" s="191">
        <f>SUM(E41:E44)</f>
        <v>4520.6933094732922</v>
      </c>
      <c r="F40" s="192">
        <f>SUM(F41:F44)</f>
        <v>4274.0233231892998</v>
      </c>
      <c r="G40" s="193">
        <f>((F40/E40)-1)</f>
        <v>-5.4564636306357217E-2</v>
      </c>
      <c r="H40" s="238">
        <f>SUM(H41:H44)</f>
        <v>9255.9695803075901</v>
      </c>
      <c r="I40" s="192">
        <f>SUM(I41:I44)</f>
        <v>8955.1322237392978</v>
      </c>
      <c r="J40" s="193">
        <f>((I40/H40)-1)</f>
        <v>-3.2501981986666761E-2</v>
      </c>
      <c r="K40" s="9"/>
      <c r="Q40" s="146" t="s">
        <v>65</v>
      </c>
      <c r="R40" s="147">
        <f>SUM(E42,E47)</f>
        <v>1411.7980747381191</v>
      </c>
      <c r="S40" s="147">
        <f>SUM(F42,F47)</f>
        <v>1254.613738461818</v>
      </c>
    </row>
    <row r="41" spans="2:19" s="1" customFormat="1">
      <c r="B41" s="8"/>
      <c r="C41" s="157" t="s">
        <v>66</v>
      </c>
      <c r="D41" s="132"/>
      <c r="E41" s="158">
        <v>3086.0726084082926</v>
      </c>
      <c r="F41" s="159">
        <f>D12</f>
        <v>2961.3702001070328</v>
      </c>
      <c r="G41" s="281">
        <f t="shared" ref="G41:G48" si="2">((F41/E41)-1)</f>
        <v>-4.0408125188466593E-2</v>
      </c>
      <c r="H41" s="239">
        <v>6365.0963543575917</v>
      </c>
      <c r="I41" s="159">
        <v>6338.1425189195324</v>
      </c>
      <c r="J41" s="281">
        <f t="shared" ref="J41:J48" si="3">((I41/H41)-1)</f>
        <v>-4.2346311724891228E-3</v>
      </c>
      <c r="K41" s="9"/>
      <c r="Q41" s="146" t="s">
        <v>67</v>
      </c>
      <c r="R41" s="147">
        <f>E43</f>
        <v>124.3233009075</v>
      </c>
      <c r="S41" s="147">
        <f>F43</f>
        <v>114.15306832500002</v>
      </c>
    </row>
    <row r="42" spans="2:19" s="1" customFormat="1">
      <c r="B42" s="8"/>
      <c r="C42" s="157" t="s">
        <v>65</v>
      </c>
      <c r="D42" s="132"/>
      <c r="E42" s="158">
        <v>1256.0620563399998</v>
      </c>
      <c r="F42" s="159">
        <f>D13</f>
        <v>1134.7321559172667</v>
      </c>
      <c r="G42" s="281">
        <f t="shared" si="2"/>
        <v>-9.6595466609565861E-2</v>
      </c>
      <c r="H42" s="239">
        <v>2541.7015516925003</v>
      </c>
      <c r="I42" s="159">
        <v>2206.9474805172663</v>
      </c>
      <c r="J42" s="281">
        <f t="shared" si="3"/>
        <v>-0.13170471212575041</v>
      </c>
      <c r="K42" s="9"/>
      <c r="Q42" s="146" t="s">
        <v>5</v>
      </c>
      <c r="R42" s="147">
        <f>E44</f>
        <v>54.235343817500002</v>
      </c>
      <c r="S42" s="147">
        <f>F44</f>
        <v>63.767898840000001</v>
      </c>
    </row>
    <row r="43" spans="2:19" s="1" customFormat="1">
      <c r="B43" s="8"/>
      <c r="C43" s="157" t="s">
        <v>67</v>
      </c>
      <c r="D43" s="132"/>
      <c r="E43" s="158">
        <v>124.3233009075</v>
      </c>
      <c r="F43" s="159">
        <f>D14</f>
        <v>114.15306832500002</v>
      </c>
      <c r="G43" s="281">
        <f t="shared" si="2"/>
        <v>-8.1804718087938433E-2</v>
      </c>
      <c r="H43" s="239">
        <v>237.22005318499998</v>
      </c>
      <c r="I43" s="159">
        <v>273.32627200249999</v>
      </c>
      <c r="J43" s="281">
        <f t="shared" si="3"/>
        <v>0.15220559279337986</v>
      </c>
      <c r="K43" s="9"/>
    </row>
    <row r="44" spans="2:19" s="1" customFormat="1">
      <c r="B44" s="8"/>
      <c r="C44" s="157" t="s">
        <v>5</v>
      </c>
      <c r="D44" s="132"/>
      <c r="E44" s="158">
        <v>54.235343817500002</v>
      </c>
      <c r="F44" s="159">
        <f>D15</f>
        <v>63.767898840000001</v>
      </c>
      <c r="G44" s="93">
        <f t="shared" si="2"/>
        <v>0.17576278403575185</v>
      </c>
      <c r="H44" s="239">
        <v>111.9516210725</v>
      </c>
      <c r="I44" s="159">
        <v>136.7159523</v>
      </c>
      <c r="J44" s="160">
        <f t="shared" si="3"/>
        <v>0.22120565106835377</v>
      </c>
      <c r="K44" s="9"/>
      <c r="Q44" s="146"/>
      <c r="R44" s="146"/>
      <c r="S44" s="146"/>
    </row>
    <row r="45" spans="2:19" s="1" customFormat="1">
      <c r="B45" s="8"/>
      <c r="C45" s="368" t="s">
        <v>64</v>
      </c>
      <c r="D45" s="369"/>
      <c r="E45" s="191">
        <f>SUM(E46:E47)</f>
        <v>219.7746753981192</v>
      </c>
      <c r="F45" s="192">
        <f>SUM(F46:F47)</f>
        <v>170.52856691970302</v>
      </c>
      <c r="G45" s="193">
        <f t="shared" si="2"/>
        <v>-0.22407544631431009</v>
      </c>
      <c r="H45" s="238">
        <f>SUM(H46:H47)</f>
        <v>453.99967987012565</v>
      </c>
      <c r="I45" s="192">
        <f>SUM(I46:I47)</f>
        <v>358.05650198307916</v>
      </c>
      <c r="J45" s="193">
        <f t="shared" si="3"/>
        <v>-0.21132873466891577</v>
      </c>
      <c r="K45" s="9"/>
    </row>
    <row r="46" spans="2:19" s="1" customFormat="1">
      <c r="B46" s="8"/>
      <c r="C46" s="157" t="s">
        <v>66</v>
      </c>
      <c r="D46" s="132"/>
      <c r="E46" s="158">
        <v>64.038656999999986</v>
      </c>
      <c r="F46" s="159">
        <f>E12</f>
        <v>50.646984375151796</v>
      </c>
      <c r="G46" s="160">
        <f t="shared" si="2"/>
        <v>-0.20911857387715349</v>
      </c>
      <c r="H46" s="239">
        <v>129.84376399999999</v>
      </c>
      <c r="I46" s="159">
        <v>119.25957328370289</v>
      </c>
      <c r="J46" s="160">
        <f t="shared" si="3"/>
        <v>-8.1514817425479946E-2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155.73601839811923</v>
      </c>
      <c r="F47" s="163">
        <f>E13</f>
        <v>119.88158254455124</v>
      </c>
      <c r="G47" s="306">
        <f t="shared" si="2"/>
        <v>-0.2302257128592482</v>
      </c>
      <c r="H47" s="240">
        <v>324.15591587012568</v>
      </c>
      <c r="I47" s="163">
        <v>238.79692869937625</v>
      </c>
      <c r="J47" s="164">
        <f t="shared" si="3"/>
        <v>-0.26332694543495183</v>
      </c>
      <c r="K47" s="9"/>
    </row>
    <row r="48" spans="2:19" s="1" customFormat="1" ht="14.4" thickTop="1" thickBot="1">
      <c r="B48" s="8"/>
      <c r="C48" s="370" t="s">
        <v>108</v>
      </c>
      <c r="D48" s="371"/>
      <c r="E48" s="194">
        <f>SUM(E40,E45)</f>
        <v>4740.4679848714113</v>
      </c>
      <c r="F48" s="195">
        <f>SUM(F40,F45)</f>
        <v>4444.5518901090027</v>
      </c>
      <c r="G48" s="196">
        <f t="shared" si="2"/>
        <v>-6.2423392733963468E-2</v>
      </c>
      <c r="H48" s="241">
        <f>SUM(H40,H45)</f>
        <v>9709.9692601777151</v>
      </c>
      <c r="I48" s="195">
        <f>SUM(I40,I45)</f>
        <v>9313.1887257223771</v>
      </c>
      <c r="J48" s="196">
        <f t="shared" si="3"/>
        <v>-4.0863212212484012E-2</v>
      </c>
      <c r="K48" s="9"/>
    </row>
    <row r="49" spans="2:23" s="1" customFormat="1">
      <c r="B49" s="8"/>
      <c r="C49" s="267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124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2"/>
    </row>
    <row r="53" spans="2:23" s="1" customFormat="1" ht="13.8" thickBot="1">
      <c r="B53" s="8"/>
      <c r="C53" s="10"/>
      <c r="H53" s="9"/>
      <c r="I53" s="9"/>
      <c r="J53" s="9"/>
      <c r="K53" s="9"/>
      <c r="L53" s="262"/>
      <c r="M53" s="262"/>
    </row>
    <row r="54" spans="2:23" s="1" customFormat="1" ht="12.75" customHeight="1">
      <c r="B54" s="8"/>
      <c r="C54" s="149"/>
      <c r="D54" s="150"/>
      <c r="E54" s="377" t="s">
        <v>117</v>
      </c>
      <c r="F54" s="378"/>
      <c r="G54" s="374" t="s">
        <v>74</v>
      </c>
      <c r="H54" s="379" t="s">
        <v>118</v>
      </c>
      <c r="I54" s="380"/>
      <c r="J54" s="374" t="s">
        <v>74</v>
      </c>
      <c r="K54" s="9"/>
      <c r="L54" s="262"/>
      <c r="M54" s="262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5"/>
      <c r="H55" s="242">
        <v>2020</v>
      </c>
      <c r="I55" s="94">
        <v>2021</v>
      </c>
      <c r="J55" s="375"/>
      <c r="K55" s="9"/>
      <c r="L55" s="262"/>
      <c r="M55" s="262"/>
    </row>
    <row r="56" spans="2:23" s="1" customFormat="1">
      <c r="B56" s="8"/>
      <c r="C56" s="368" t="s">
        <v>68</v>
      </c>
      <c r="D56" s="369"/>
      <c r="E56" s="191">
        <f>SUM(E57:E60)</f>
        <v>4520.6933094732922</v>
      </c>
      <c r="F56" s="192">
        <f>SUM(F57:F60)</f>
        <v>4274.0233231892998</v>
      </c>
      <c r="G56" s="193">
        <f>((F56/E56)-1)</f>
        <v>-5.4564636306357217E-2</v>
      </c>
      <c r="H56" s="238">
        <f>SUM(H57:H60)</f>
        <v>9255.969580307592</v>
      </c>
      <c r="I56" s="192">
        <f>SUM(I57:I60)</f>
        <v>8955.1322237392978</v>
      </c>
      <c r="J56" s="193">
        <f>((I56/H56)-1)</f>
        <v>-3.2501981986666872E-2</v>
      </c>
      <c r="K56" s="9"/>
    </row>
    <row r="57" spans="2:23" s="1" customFormat="1" ht="26.4">
      <c r="B57" s="8"/>
      <c r="C57" s="382" t="s">
        <v>78</v>
      </c>
      <c r="D57" s="283" t="s">
        <v>79</v>
      </c>
      <c r="E57" s="330">
        <f>SUM(E43:E44)+20.648566255</f>
        <v>199.20721097999999</v>
      </c>
      <c r="F57" s="331">
        <f>SUM(F43:F44)+22.6946431183453</f>
        <v>200.61561028334535</v>
      </c>
      <c r="G57" s="171">
        <f t="shared" ref="G57:G65" si="4">((F57/E57)-1)</f>
        <v>7.070021694580042E-3</v>
      </c>
      <c r="H57" s="332">
        <f>SUM(H43:H44)+44.6829359975</f>
        <v>393.85461025500001</v>
      </c>
      <c r="I57" s="331">
        <f>SUM(I43:I44)+41.1965496708453</f>
        <v>451.2387739733453</v>
      </c>
      <c r="J57" s="171">
        <f t="shared" ref="J57:J65" si="5">((I57/H57)-1)</f>
        <v>0.14569884984002623</v>
      </c>
      <c r="K57" s="9"/>
      <c r="L57" s="262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83"/>
      <c r="D58" s="284" t="s">
        <v>110</v>
      </c>
      <c r="E58" s="272">
        <v>217.83093042750011</v>
      </c>
      <c r="F58" s="335">
        <v>226.97389977500001</v>
      </c>
      <c r="G58" s="282">
        <f t="shared" si="4"/>
        <v>4.1972778289825596E-2</v>
      </c>
      <c r="H58" s="274">
        <v>448.97864651499998</v>
      </c>
      <c r="I58" s="273">
        <v>480.50030150250006</v>
      </c>
      <c r="J58" s="282">
        <f t="shared" si="5"/>
        <v>7.0207470293238039E-2</v>
      </c>
      <c r="K58" s="9"/>
      <c r="L58" s="262"/>
      <c r="M58" s="262"/>
      <c r="Q58" s="376" t="s">
        <v>80</v>
      </c>
      <c r="R58" s="146" t="s">
        <v>66</v>
      </c>
      <c r="T58" s="147">
        <f>SUM(E60,E64)</f>
        <v>2932.2803349807928</v>
      </c>
      <c r="U58" s="147">
        <f>SUM(F60,F64)</f>
        <v>2785.0432847071847</v>
      </c>
      <c r="V58" s="148">
        <f t="shared" ref="V58:W61" si="6">T58/T$64</f>
        <v>0.6185634718637032</v>
      </c>
      <c r="W58" s="148">
        <f t="shared" si="6"/>
        <v>0.62661959035849657</v>
      </c>
    </row>
    <row r="59" spans="2:23" s="1" customFormat="1">
      <c r="B59" s="8"/>
      <c r="C59" s="381" t="s">
        <v>80</v>
      </c>
      <c r="D59" s="285" t="s">
        <v>81</v>
      </c>
      <c r="E59" s="158">
        <f>SUM(E42:E44)-E57</f>
        <v>1235.4134900849999</v>
      </c>
      <c r="F59" s="159">
        <f>SUM(F42:F44)-F57</f>
        <v>1112.0375127989214</v>
      </c>
      <c r="G59" s="281">
        <f t="shared" si="4"/>
        <v>-9.9866140588759422E-2</v>
      </c>
      <c r="H59" s="239">
        <f>SUM(H42:H44)-H57</f>
        <v>2497.0186156950003</v>
      </c>
      <c r="I59" s="159">
        <f>SUM(I42:I44)-I57</f>
        <v>2165.7509308464209</v>
      </c>
      <c r="J59" s="281">
        <f t="shared" si="5"/>
        <v>-0.13266528441814474</v>
      </c>
      <c r="K59" s="9"/>
      <c r="Q59" s="376"/>
      <c r="R59" s="146" t="s">
        <v>65</v>
      </c>
      <c r="T59" s="147">
        <f>SUM(E59,E63)</f>
        <v>1370.7681204831192</v>
      </c>
      <c r="U59" s="147">
        <f>SUM(F59,F63)</f>
        <v>1216.9338975254036</v>
      </c>
      <c r="V59" s="148">
        <f t="shared" si="6"/>
        <v>0.28916303724816789</v>
      </c>
      <c r="W59" s="148">
        <f t="shared" si="6"/>
        <v>0.27380350766825184</v>
      </c>
    </row>
    <row r="60" spans="2:23" s="1" customFormat="1">
      <c r="B60" s="8"/>
      <c r="C60" s="381"/>
      <c r="D60" s="286" t="s">
        <v>41</v>
      </c>
      <c r="E60" s="158">
        <f>E41-E58</f>
        <v>2868.2416779807927</v>
      </c>
      <c r="F60" s="159">
        <f>F41-F58</f>
        <v>2734.3963003320328</v>
      </c>
      <c r="G60" s="160">
        <f t="shared" si="4"/>
        <v>-4.666460942823536E-2</v>
      </c>
      <c r="H60" s="239">
        <f>H41-H58</f>
        <v>5916.1177078425917</v>
      </c>
      <c r="I60" s="159">
        <f>I41-I58</f>
        <v>5857.642217417032</v>
      </c>
      <c r="J60" s="281">
        <f t="shared" si="5"/>
        <v>-9.8840985445646234E-3</v>
      </c>
      <c r="K60" s="9"/>
      <c r="Q60" s="376" t="s">
        <v>78</v>
      </c>
      <c r="R60" s="146" t="s">
        <v>66</v>
      </c>
      <c r="T60" s="147">
        <f>E58</f>
        <v>217.83093042750011</v>
      </c>
      <c r="U60" s="147">
        <f>F58</f>
        <v>226.97389977500001</v>
      </c>
      <c r="V60" s="148">
        <f t="shared" si="6"/>
        <v>4.5951355672621201E-2</v>
      </c>
      <c r="W60" s="148">
        <f t="shared" si="6"/>
        <v>5.106789286904545E-2</v>
      </c>
    </row>
    <row r="61" spans="2:23" s="1" customFormat="1">
      <c r="B61" s="8"/>
      <c r="C61" s="368" t="s">
        <v>64</v>
      </c>
      <c r="D61" s="369"/>
      <c r="E61" s="191">
        <f>SUM(E62:E64)</f>
        <v>219.7746753981192</v>
      </c>
      <c r="F61" s="192">
        <f>SUM(F62:F64)</f>
        <v>170.52856691970302</v>
      </c>
      <c r="G61" s="193">
        <f t="shared" si="4"/>
        <v>-0.22407544631431009</v>
      </c>
      <c r="H61" s="238">
        <f>SUM(H62:H64)</f>
        <v>453.99967987012565</v>
      </c>
      <c r="I61" s="192">
        <f>SUM(I62:I64)</f>
        <v>358.05650198307916</v>
      </c>
      <c r="J61" s="193">
        <f t="shared" si="5"/>
        <v>-0.21132873466891577</v>
      </c>
      <c r="K61" s="9"/>
      <c r="Q61" s="376"/>
      <c r="R61" s="146" t="s">
        <v>89</v>
      </c>
      <c r="T61" s="147">
        <f>E57+E62</f>
        <v>219.58859897999997</v>
      </c>
      <c r="U61" s="147">
        <f>F57+F62</f>
        <v>215.60080810141426</v>
      </c>
      <c r="V61" s="148">
        <f t="shared" si="6"/>
        <v>4.6322135215507945E-2</v>
      </c>
      <c r="W61" s="148">
        <f t="shared" si="6"/>
        <v>4.8509009104206149E-2</v>
      </c>
    </row>
    <row r="62" spans="2:23" s="1" customFormat="1">
      <c r="B62" s="8"/>
      <c r="C62" s="318" t="s">
        <v>78</v>
      </c>
      <c r="D62" s="319" t="s">
        <v>114</v>
      </c>
      <c r="E62" s="362">
        <v>20.381387999999998</v>
      </c>
      <c r="F62" s="333">
        <v>14.985197818068904</v>
      </c>
      <c r="G62" s="320">
        <f t="shared" si="4"/>
        <v>-0.264760681751954</v>
      </c>
      <c r="H62" s="334">
        <v>40.053618799999995</v>
      </c>
      <c r="I62" s="333">
        <v>30.191951818068905</v>
      </c>
      <c r="J62" s="320">
        <f t="shared" si="5"/>
        <v>-0.24621163523759038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84" t="s">
        <v>80</v>
      </c>
      <c r="D63" s="285" t="s">
        <v>81</v>
      </c>
      <c r="E63" s="158">
        <f>E47-E62</f>
        <v>135.35463039811924</v>
      </c>
      <c r="F63" s="159">
        <f>F47-F62</f>
        <v>104.89638472648232</v>
      </c>
      <c r="G63" s="281">
        <f t="shared" ref="G63" si="7">((F63/E63)-1)</f>
        <v>-0.22502551691102057</v>
      </c>
      <c r="H63" s="239">
        <f>H47-H62</f>
        <v>284.1022970701257</v>
      </c>
      <c r="I63" s="159">
        <f>I47-I62</f>
        <v>208.60497688130735</v>
      </c>
      <c r="J63" s="341">
        <f t="shared" ref="J63" si="8">((I63/H63)-1)</f>
        <v>-0.26573991469763847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85"/>
      <c r="D64" s="287" t="s">
        <v>41</v>
      </c>
      <c r="E64" s="162">
        <f>E46</f>
        <v>64.038656999999986</v>
      </c>
      <c r="F64" s="163">
        <f>F46</f>
        <v>50.646984375151796</v>
      </c>
      <c r="G64" s="164">
        <f t="shared" si="4"/>
        <v>-0.20911857387715349</v>
      </c>
      <c r="H64" s="240">
        <f>H46</f>
        <v>129.84376399999999</v>
      </c>
      <c r="I64" s="163">
        <f>I46</f>
        <v>119.25957328370289</v>
      </c>
      <c r="J64" s="164">
        <f t="shared" si="5"/>
        <v>-8.1514817425479946E-2</v>
      </c>
      <c r="K64" s="9"/>
      <c r="Q64" s="146"/>
      <c r="R64" s="146"/>
      <c r="T64" s="147">
        <f>SUM(T58:T61)</f>
        <v>4740.4679848714113</v>
      </c>
      <c r="U64" s="147">
        <f>SUM(U58:U61)</f>
        <v>4444.5518901090027</v>
      </c>
      <c r="V64" s="146"/>
      <c r="W64" s="146"/>
    </row>
    <row r="65" spans="2:22" s="1" customFormat="1" ht="14.4" thickTop="1" thickBot="1">
      <c r="B65" s="8"/>
      <c r="C65" s="370" t="s">
        <v>108</v>
      </c>
      <c r="D65" s="371"/>
      <c r="E65" s="194">
        <f>SUM(E56,E61)</f>
        <v>4740.4679848714113</v>
      </c>
      <c r="F65" s="195">
        <f>SUM(F56,F61)</f>
        <v>4444.5518901090027</v>
      </c>
      <c r="G65" s="196">
        <f t="shared" si="4"/>
        <v>-6.2423392733963468E-2</v>
      </c>
      <c r="H65" s="241">
        <f>SUM(H56,H61)</f>
        <v>9709.9692601777169</v>
      </c>
      <c r="I65" s="195">
        <f>SUM(I56,I61)</f>
        <v>9313.1887257223771</v>
      </c>
      <c r="J65" s="196">
        <f t="shared" si="5"/>
        <v>-4.0863212212484123E-2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7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B55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119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3012.0171844821848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1124.1339096617887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92.560224698525417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37.679840936414223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114.15306832500002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63.767898840000001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8">
        <f t="shared" si="0"/>
        <v>0.23976316508910248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4444.5518901090036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4"/>
      <c r="G23" s="266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125</v>
      </c>
      <c r="D24" s="9"/>
      <c r="E24" s="13"/>
      <c r="F24" s="13"/>
      <c r="G24" s="13"/>
      <c r="H24" s="26"/>
      <c r="I24" s="26"/>
      <c r="J24" s="307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8" t="s">
        <v>61</v>
      </c>
      <c r="D26" s="388" t="s">
        <v>117</v>
      </c>
      <c r="E26" s="388"/>
      <c r="F26" s="389" t="s">
        <v>74</v>
      </c>
      <c r="G26" s="391" t="s">
        <v>118</v>
      </c>
      <c r="H26" s="392"/>
      <c r="I26" s="389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9"/>
      <c r="D27" s="96">
        <v>2020</v>
      </c>
      <c r="E27" s="97">
        <v>2021</v>
      </c>
      <c r="F27" s="390"/>
      <c r="G27" s="243">
        <v>2020</v>
      </c>
      <c r="H27" s="97">
        <v>2021</v>
      </c>
      <c r="I27" s="390"/>
      <c r="J27" s="20"/>
      <c r="K27" s="54"/>
      <c r="L27" s="54"/>
      <c r="M27" s="55" t="s">
        <v>85</v>
      </c>
      <c r="N27" s="70">
        <f t="shared" ref="N27:O29" si="1">D28</f>
        <v>3150.1112654082926</v>
      </c>
      <c r="O27" s="70">
        <f t="shared" si="1"/>
        <v>3012.0171844821848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3150.1112654082926</v>
      </c>
      <c r="E28" s="170">
        <f>'Resumen (G)'!F41+'Resumen (G)'!F46</f>
        <v>3012.0171844821848</v>
      </c>
      <c r="F28" s="171">
        <f>+E28/D28-1</f>
        <v>-4.3837842314502828E-2</v>
      </c>
      <c r="G28" s="257">
        <f>'Resumen (G)'!H41+'Resumen (G)'!H46</f>
        <v>6494.9401183575919</v>
      </c>
      <c r="H28" s="170">
        <f>'Resumen (G)'!I41+'Resumen (G)'!I46</f>
        <v>6457.402092203235</v>
      </c>
      <c r="I28" s="171">
        <f>+H28/G28-1</f>
        <v>-5.7795800223404692E-3</v>
      </c>
      <c r="J28" s="307"/>
      <c r="K28" s="54"/>
      <c r="L28" s="54"/>
      <c r="M28" s="55" t="s">
        <v>2</v>
      </c>
      <c r="N28" s="70">
        <f t="shared" si="1"/>
        <v>1261.3282941649998</v>
      </c>
      <c r="O28" s="70">
        <f t="shared" si="1"/>
        <v>1124.1339096617887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1261.3282941649998</v>
      </c>
      <c r="E29" s="174">
        <v>1124.1339096617887</v>
      </c>
      <c r="F29" s="175">
        <f t="shared" ref="F29:F35" si="2">+E29/D29-1</f>
        <v>-0.10876976687027684</v>
      </c>
      <c r="G29" s="258">
        <v>2556.7175577524999</v>
      </c>
      <c r="H29" s="174">
        <v>2195.6108043567888</v>
      </c>
      <c r="I29" s="175">
        <f t="shared" ref="I29:I35" si="3">+H29/G29-1</f>
        <v>-0.14123842201527514</v>
      </c>
      <c r="J29" s="264"/>
      <c r="K29" s="265"/>
      <c r="L29" s="54"/>
      <c r="M29" s="55" t="s">
        <v>84</v>
      </c>
      <c r="N29" s="70">
        <f t="shared" si="1"/>
        <v>109.16482631811959</v>
      </c>
      <c r="O29" s="70">
        <f t="shared" si="1"/>
        <v>92.560224698525417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109.16482631811959</v>
      </c>
      <c r="E30" s="174">
        <f>'Resumen (G)'!F32-SUM('TipoRecurso (G)'!E28:E29,'TipoRecurso (G)'!E31:E34)</f>
        <v>92.560224698525417</v>
      </c>
      <c r="F30" s="175">
        <f t="shared" si="2"/>
        <v>-0.15210578516569384</v>
      </c>
      <c r="G30" s="258">
        <f>'Resumen (G)'!H32-SUM('TipoRecurso (G)'!G28:G29,'TipoRecurso (G)'!G31:G34)</f>
        <v>223.78035501262639</v>
      </c>
      <c r="H30" s="174">
        <f>'Resumen (G)'!I32-SUM('TipoRecurso (G)'!H28:H29,'TipoRecurso (G)'!H31:H34)</f>
        <v>178.25129120585189</v>
      </c>
      <c r="I30" s="175">
        <f t="shared" si="3"/>
        <v>-0.20345424782352151</v>
      </c>
      <c r="J30" s="307"/>
      <c r="K30" s="54"/>
      <c r="L30" s="54"/>
      <c r="M30" s="55" t="s">
        <v>4</v>
      </c>
      <c r="N30" s="100">
        <f>D34</f>
        <v>0.27500000000000002</v>
      </c>
      <c r="O30" s="100">
        <f>E34</f>
        <v>0.23976316508910248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41.029954254999979</v>
      </c>
      <c r="E31" s="174">
        <f>'Resumen (G)'!F57+'Resumen (G)'!F62-SUM('TipoRecurso (G)'!E32:E33)</f>
        <v>37.679840936414223</v>
      </c>
      <c r="F31" s="175">
        <f t="shared" si="2"/>
        <v>-8.1650427825605165E-2</v>
      </c>
      <c r="G31" s="258">
        <f>'Resumen (G)'!H57+'Resumen (G)'!H62-SUM('TipoRecurso (G)'!G32:G33)</f>
        <v>84.736554797499991</v>
      </c>
      <c r="H31" s="174">
        <f>'Resumen (G)'!I57+'Resumen (G)'!I62-SUM('TipoRecurso (G)'!H32:H33)</f>
        <v>71.388501488914187</v>
      </c>
      <c r="I31" s="175">
        <f t="shared" si="3"/>
        <v>-0.15752414457354846</v>
      </c>
      <c r="J31" s="20"/>
      <c r="K31" s="54"/>
      <c r="L31" s="54"/>
      <c r="M31" s="55" t="s">
        <v>90</v>
      </c>
      <c r="N31" s="70">
        <f t="shared" ref="N31:O33" si="4">D31</f>
        <v>41.029954254999979</v>
      </c>
      <c r="O31" s="70">
        <f t="shared" si="4"/>
        <v>37.679840936414223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124.3233009075</v>
      </c>
      <c r="E32" s="174">
        <f>'Resumen (G)'!F43</f>
        <v>114.15306832500002</v>
      </c>
      <c r="F32" s="175">
        <f t="shared" si="2"/>
        <v>-8.1804718087938433E-2</v>
      </c>
      <c r="G32" s="258">
        <f>'Resumen (G)'!H43</f>
        <v>237.22005318499998</v>
      </c>
      <c r="H32" s="174">
        <f>'Resumen (G)'!I43</f>
        <v>273.32627200249999</v>
      </c>
      <c r="I32" s="175">
        <f t="shared" si="3"/>
        <v>0.15220559279337986</v>
      </c>
      <c r="J32" s="20"/>
      <c r="K32" s="54"/>
      <c r="L32" s="54"/>
      <c r="M32" s="55" t="s">
        <v>14</v>
      </c>
      <c r="N32" s="70">
        <f t="shared" si="4"/>
        <v>124.3233009075</v>
      </c>
      <c r="O32" s="70">
        <f t="shared" si="4"/>
        <v>114.15306832500002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54.235343817500002</v>
      </c>
      <c r="E33" s="174">
        <f>'Resumen (G)'!F44</f>
        <v>63.767898840000001</v>
      </c>
      <c r="F33" s="175">
        <f t="shared" si="2"/>
        <v>0.17576278403575185</v>
      </c>
      <c r="G33" s="258">
        <f>'Resumen (G)'!H44</f>
        <v>111.9516210725</v>
      </c>
      <c r="H33" s="174">
        <f>'Resumen (G)'!I44</f>
        <v>136.7159523</v>
      </c>
      <c r="I33" s="175">
        <f t="shared" si="3"/>
        <v>0.22120565106835377</v>
      </c>
      <c r="J33" s="20"/>
      <c r="K33" s="54"/>
      <c r="L33" s="54"/>
      <c r="M33" s="55" t="s">
        <v>5</v>
      </c>
      <c r="N33" s="70">
        <f t="shared" si="4"/>
        <v>54.235343817500002</v>
      </c>
      <c r="O33" s="70">
        <f t="shared" si="4"/>
        <v>63.767898840000001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63">
        <v>0.27500000000000002</v>
      </c>
      <c r="E34" s="364">
        <v>0.23976316508910248</v>
      </c>
      <c r="F34" s="177">
        <f t="shared" si="2"/>
        <v>-0.12813394513053655</v>
      </c>
      <c r="G34" s="365">
        <v>0.623</v>
      </c>
      <c r="H34" s="364">
        <v>0.49381216508910247</v>
      </c>
      <c r="I34" s="177">
        <f t="shared" si="3"/>
        <v>-0.2073641009805739</v>
      </c>
      <c r="J34" s="20"/>
      <c r="K34" s="54"/>
      <c r="L34" s="54"/>
      <c r="M34" s="98"/>
      <c r="N34" s="99">
        <f>SUM(N27:N33)</f>
        <v>4740.4679848714113</v>
      </c>
      <c r="O34" s="99">
        <f>SUM(O27:O33)</f>
        <v>4444.5518901090036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10" t="s">
        <v>108</v>
      </c>
      <c r="D35" s="311">
        <f>SUM(D28:D34)</f>
        <v>4740.4679848714113</v>
      </c>
      <c r="E35" s="312">
        <f>SUM(E28:E34)</f>
        <v>4444.5518901090036</v>
      </c>
      <c r="F35" s="313">
        <f t="shared" si="2"/>
        <v>-6.2423392733963357E-2</v>
      </c>
      <c r="G35" s="314">
        <f>SUM(G28:G34)</f>
        <v>9709.9692601777169</v>
      </c>
      <c r="H35" s="312">
        <f>SUM(H28:H34)</f>
        <v>9313.1887257223771</v>
      </c>
      <c r="I35" s="315">
        <f t="shared" si="3"/>
        <v>-4.0863212212484123E-2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2"/>
      <c r="N39" s="232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2">
        <f t="shared" ref="M40:N46" si="5">N27/N$34</f>
        <v>0.66451482753632429</v>
      </c>
      <c r="N40" s="232">
        <f t="shared" si="5"/>
        <v>0.6776874832275418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2">
        <f t="shared" si="5"/>
        <v>0.26607674562730205</v>
      </c>
      <c r="N41" s="232">
        <f t="shared" si="5"/>
        <v>0.25292401516640167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2">
        <f t="shared" si="5"/>
        <v>2.3028280470726727E-2</v>
      </c>
      <c r="N42" s="232">
        <f t="shared" si="5"/>
        <v>2.0825547093850073E-2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2">
        <f t="shared" si="5"/>
        <v>5.8011150139105857E-5</v>
      </c>
      <c r="N43" s="232">
        <f t="shared" si="5"/>
        <v>5.3945408000000253E-5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2">
        <f t="shared" si="5"/>
        <v>8.6552539508634504E-3</v>
      </c>
      <c r="N44" s="232">
        <f t="shared" si="5"/>
        <v>8.4777592585357619E-3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2">
        <f t="shared" si="5"/>
        <v>2.6225955180851697E-2</v>
      </c>
      <c r="N45" s="232">
        <f t="shared" si="5"/>
        <v>2.5683819459738695E-2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2">
        <f t="shared" si="5"/>
        <v>1.1440926083792796E-2</v>
      </c>
      <c r="N46" s="232">
        <f t="shared" si="5"/>
        <v>1.434743038593168E-2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2">
        <f>N34/N$34</f>
        <v>1</v>
      </c>
      <c r="N47" s="232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3">
        <f>SUM(M39:M46)</f>
        <v>1</v>
      </c>
      <c r="N49" s="233">
        <f>SUM(N39:N46)</f>
        <v>0.99999999999999978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126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6" t="s">
        <v>91</v>
      </c>
      <c r="D53" s="388" t="s">
        <v>117</v>
      </c>
      <c r="E53" s="388"/>
      <c r="F53" s="389" t="s">
        <v>74</v>
      </c>
      <c r="G53" s="391" t="s">
        <v>118</v>
      </c>
      <c r="H53" s="392"/>
      <c r="I53" s="389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7"/>
      <c r="D54" s="96">
        <v>2020</v>
      </c>
      <c r="E54" s="97">
        <v>2021</v>
      </c>
      <c r="F54" s="390"/>
      <c r="G54" s="243">
        <v>2020</v>
      </c>
      <c r="H54" s="97">
        <v>2021</v>
      </c>
      <c r="I54" s="390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3" t="s">
        <v>42</v>
      </c>
      <c r="D55" s="294">
        <f>SUM(D28:D30,D34)</f>
        <v>4520.8793858914114</v>
      </c>
      <c r="E55" s="295">
        <f>SUM(E28:E30,E34)</f>
        <v>4228.9510820075884</v>
      </c>
      <c r="F55" s="296">
        <f>+E55/D55-1</f>
        <v>-6.4573344910475061E-2</v>
      </c>
      <c r="G55" s="297">
        <f>SUM(G28:G30,G34)</f>
        <v>9276.0610311227174</v>
      </c>
      <c r="H55" s="295">
        <f>SUM(H28:H30,H34)</f>
        <v>8831.7579999309637</v>
      </c>
      <c r="I55" s="296">
        <f>+H55/G55-1</f>
        <v>-4.7897812412083463E-2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8" t="s">
        <v>104</v>
      </c>
      <c r="D56" s="299">
        <f>SUM(D31:D33)</f>
        <v>219.58859897999997</v>
      </c>
      <c r="E56" s="300">
        <f>SUM(E31:E33)</f>
        <v>215.60080810141426</v>
      </c>
      <c r="F56" s="301">
        <f>+E56/D56-1</f>
        <v>-1.8160281986902782E-2</v>
      </c>
      <c r="G56" s="302">
        <f>SUM(G31:G33)</f>
        <v>433.90822905499999</v>
      </c>
      <c r="H56" s="300">
        <f>SUM(H31:H33)</f>
        <v>481.43072579141415</v>
      </c>
      <c r="I56" s="303">
        <f>+H56/G56-1</f>
        <v>0.10952199924834893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4740.4679848714113</v>
      </c>
      <c r="E57" s="102">
        <f>SUM(E55:E56)</f>
        <v>4444.5518901090027</v>
      </c>
      <c r="F57" s="103">
        <f>+E57/D57-1</f>
        <v>-6.2423392733963468E-2</v>
      </c>
      <c r="G57" s="259">
        <f>SUM(G55:G56)</f>
        <v>9709.9692601777169</v>
      </c>
      <c r="H57" s="102">
        <f>SUM(H55:H56)</f>
        <v>9313.1887257223771</v>
      </c>
      <c r="I57" s="103">
        <f>+H57/G57-1</f>
        <v>-4.0863212212484123E-2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4.6322135215507945E-2</v>
      </c>
      <c r="E58" s="105">
        <f>+E56/E57</f>
        <v>4.8509009104206149E-2</v>
      </c>
      <c r="F58" s="106"/>
      <c r="G58" s="260">
        <f>+G56/G57</f>
        <v>4.4686879785967352E-2</v>
      </c>
      <c r="H58" s="105">
        <f>+H56/H57</f>
        <v>5.1693436047498542E-2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8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4520.8793858914114</v>
      </c>
      <c r="N63" s="76">
        <f>E55</f>
        <v>4228.9510820075884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219.58859897999997</v>
      </c>
      <c r="N64" s="76">
        <f>E56</f>
        <v>215.60080810141426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8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127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5"/>
      <c r="D76" s="388" t="s">
        <v>117</v>
      </c>
      <c r="E76" s="388"/>
      <c r="F76" s="107" t="s">
        <v>74</v>
      </c>
      <c r="G76" s="391" t="s">
        <v>118</v>
      </c>
      <c r="H76" s="392"/>
      <c r="I76" s="230" t="s">
        <v>74</v>
      </c>
      <c r="J76" s="19"/>
      <c r="K76" s="57"/>
      <c r="L76" s="57"/>
      <c r="M76" s="55" t="s">
        <v>96</v>
      </c>
      <c r="N76" s="70">
        <f>D78</f>
        <v>5.3145985125000017</v>
      </c>
      <c r="O76" s="70">
        <f>E78</f>
        <v>2.2009832449999998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5">
        <v>2021</v>
      </c>
      <c r="F77" s="108"/>
      <c r="G77" s="356">
        <v>2020</v>
      </c>
      <c r="H77" s="97">
        <v>2021</v>
      </c>
      <c r="I77" s="231"/>
      <c r="J77" s="19"/>
      <c r="K77" s="57"/>
      <c r="L77" s="57"/>
      <c r="M77" s="55" t="s">
        <v>97</v>
      </c>
      <c r="N77" s="70">
        <f>D79</f>
        <v>4515.378710960792</v>
      </c>
      <c r="O77" s="70">
        <f>E79</f>
        <v>4271.8223399442995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158">
        <v>5.3145985125000017</v>
      </c>
      <c r="E78" s="338">
        <v>2.2009832449999998</v>
      </c>
      <c r="F78" s="160">
        <f>((E78/D78)-1)</f>
        <v>-0.58586086233545964</v>
      </c>
      <c r="G78" s="239">
        <v>9.1700756925000029</v>
      </c>
      <c r="H78" s="338">
        <v>2.5565785624999999</v>
      </c>
      <c r="I78" s="160">
        <f>((H78/G78)-1)</f>
        <v>-0.72120420286269094</v>
      </c>
      <c r="J78" s="19"/>
      <c r="K78" s="263"/>
      <c r="L78" s="57"/>
    </row>
    <row r="79" spans="2:28" ht="16.5" customHeight="1" thickBot="1">
      <c r="C79" s="304" t="s">
        <v>97</v>
      </c>
      <c r="D79" s="162">
        <f>'Resumen (G)'!E40-D78</f>
        <v>4515.378710960792</v>
      </c>
      <c r="E79" s="336">
        <f>'Resumen (G)'!F40-E78</f>
        <v>4271.8223399442995</v>
      </c>
      <c r="F79" s="164">
        <f>((E79/D79)-1)</f>
        <v>-5.3939300910746391E-2</v>
      </c>
      <c r="G79" s="240">
        <f>'Resumen (G)'!H40-G78</f>
        <v>9246.79950461509</v>
      </c>
      <c r="H79" s="336">
        <f>'Resumen (G)'!I40-H78</f>
        <v>8952.5756451767975</v>
      </c>
      <c r="I79" s="164">
        <f>((H79/G79)-1)</f>
        <v>-3.1818994160243808E-2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4">
        <f>SUM(D78:D79)</f>
        <v>4520.6933094732922</v>
      </c>
      <c r="E80" s="337">
        <f>SUM(E78:E79)</f>
        <v>4274.0233231892998</v>
      </c>
      <c r="F80" s="130"/>
      <c r="G80" s="261">
        <f>SUM(G78:G79)</f>
        <v>9255.9695803075901</v>
      </c>
      <c r="H80" s="337">
        <f>SUM(H78:H79)</f>
        <v>8955.1322237392978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1" zoomScaleNormal="100" zoomScaleSheetLayoutView="10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129</v>
      </c>
      <c r="D4" s="3"/>
      <c r="E4" s="23"/>
      <c r="F4" s="23"/>
      <c r="G4" s="23"/>
      <c r="H4" s="23"/>
      <c r="I4" s="23"/>
      <c r="J4" s="23"/>
    </row>
    <row r="6" spans="2:13">
      <c r="C6" s="10" t="s">
        <v>120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400" t="s">
        <v>117</v>
      </c>
      <c r="E8" s="401"/>
      <c r="F8" s="389" t="s">
        <v>74</v>
      </c>
      <c r="G8" s="391" t="s">
        <v>118</v>
      </c>
      <c r="H8" s="392"/>
      <c r="I8" s="389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90"/>
      <c r="G9" s="243">
        <v>2020</v>
      </c>
      <c r="H9" s="97">
        <v>2021</v>
      </c>
      <c r="I9" s="390"/>
      <c r="J9" s="26"/>
    </row>
    <row r="10" spans="2:13">
      <c r="C10" s="197" t="s">
        <v>10</v>
      </c>
      <c r="D10" s="198">
        <f>'Por Región (G)'!O8</f>
        <v>288.11864955861887</v>
      </c>
      <c r="E10" s="199">
        <f>'Por Región (G)'!P8</f>
        <v>324.43172935499996</v>
      </c>
      <c r="F10" s="200">
        <f>+E10/D10-1</f>
        <v>0.12603515895972239</v>
      </c>
      <c r="G10" s="351">
        <f>'Por Región (G)'!Q8</f>
        <v>609.97620917471193</v>
      </c>
      <c r="H10" s="199">
        <f>'Por Región (G)'!R8</f>
        <v>646.72286121513923</v>
      </c>
      <c r="I10" s="200">
        <f>+H10/G10-1</f>
        <v>6.0242762730279065E-2</v>
      </c>
      <c r="J10" s="26"/>
      <c r="L10" s="146" t="s">
        <v>9</v>
      </c>
      <c r="M10" s="236">
        <f>E11</f>
        <v>3539.7999600975004</v>
      </c>
    </row>
    <row r="11" spans="2:13">
      <c r="C11" s="201" t="s">
        <v>9</v>
      </c>
      <c r="D11" s="202">
        <f>'Por Región (G)'!O9</f>
        <v>3776.5718045572862</v>
      </c>
      <c r="E11" s="203">
        <f>'Por Región (G)'!P9</f>
        <v>3539.7999600975004</v>
      </c>
      <c r="F11" s="204">
        <f>+E11/D11-1</f>
        <v>-6.2694913988942891E-2</v>
      </c>
      <c r="G11" s="352">
        <f>'Por Región (G)'!Q9</f>
        <v>7734.0081541735344</v>
      </c>
      <c r="H11" s="203">
        <f>'Por Región (G)'!R9</f>
        <v>7371.1840369482361</v>
      </c>
      <c r="I11" s="204">
        <f>+H11/G11-1</f>
        <v>-4.6912818035950266E-2</v>
      </c>
      <c r="J11" s="26"/>
      <c r="L11" s="146" t="s">
        <v>12</v>
      </c>
      <c r="M11" s="236">
        <f>E12</f>
        <v>546.62020065650154</v>
      </c>
    </row>
    <row r="12" spans="2:13">
      <c r="C12" s="201" t="s">
        <v>12</v>
      </c>
      <c r="D12" s="202">
        <f>'Por Región (G)'!O10</f>
        <v>604.55666904217321</v>
      </c>
      <c r="E12" s="203">
        <f>'Por Región (G)'!P10</f>
        <v>546.62020065650154</v>
      </c>
      <c r="F12" s="204">
        <f>+E12/D12-1</f>
        <v>-9.5832982005579548E-2</v>
      </c>
      <c r="G12" s="352">
        <f>'Por Región (G)'!Q10</f>
        <v>1216.2114763828051</v>
      </c>
      <c r="H12" s="203">
        <f>'Por Región (G)'!R10</f>
        <v>1227.4392621856682</v>
      </c>
      <c r="I12" s="339">
        <f>+H12/G12-1</f>
        <v>9.231770971489528E-3</v>
      </c>
      <c r="J12" s="26"/>
      <c r="L12" s="146" t="s">
        <v>10</v>
      </c>
      <c r="M12" s="236">
        <f>E10</f>
        <v>324.43172935499996</v>
      </c>
    </row>
    <row r="13" spans="2:13">
      <c r="C13" s="205" t="s">
        <v>11</v>
      </c>
      <c r="D13" s="206">
        <f>'Por Región (G)'!O11</f>
        <v>71.220861713333349</v>
      </c>
      <c r="E13" s="207">
        <f>'Por Región (G)'!P11</f>
        <v>33.700000000000003</v>
      </c>
      <c r="F13" s="208">
        <f>+E13/D13-1</f>
        <v>-0.5268240345694809</v>
      </c>
      <c r="G13" s="353">
        <f>'Por Región (G)'!Q11</f>
        <v>149.77342044666665</v>
      </c>
      <c r="H13" s="207">
        <f>'Por Región (G)'!R11</f>
        <v>67.842565373333329</v>
      </c>
      <c r="I13" s="208">
        <f>+H13/G13-1</f>
        <v>-0.54703200894385917</v>
      </c>
      <c r="J13" s="26"/>
      <c r="L13" s="146" t="s">
        <v>11</v>
      </c>
      <c r="M13" s="236">
        <f>E13</f>
        <v>33.700000000000003</v>
      </c>
    </row>
    <row r="14" spans="2:13" ht="13.8" thickBot="1">
      <c r="C14" s="211" t="s">
        <v>108</v>
      </c>
      <c r="D14" s="212">
        <f>SUM(D10:D13)</f>
        <v>4740.4679848714122</v>
      </c>
      <c r="E14" s="213">
        <f>SUM(E10:E13)</f>
        <v>4444.5518901090018</v>
      </c>
      <c r="F14" s="214">
        <f>+E14/D14-1</f>
        <v>-6.2423392733963912E-2</v>
      </c>
      <c r="G14" s="354">
        <f>SUM(G10:G13)</f>
        <v>9709.9692601777188</v>
      </c>
      <c r="H14" s="213">
        <f>SUM(H10:H13)</f>
        <v>9313.1887257223771</v>
      </c>
      <c r="I14" s="214">
        <f>+H14/G14-1</f>
        <v>-4.0863212212484346E-2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7" t="s">
        <v>93</v>
      </c>
      <c r="D18" s="397"/>
      <c r="E18" s="397"/>
      <c r="F18" s="397"/>
      <c r="G18" s="398" t="s">
        <v>107</v>
      </c>
      <c r="H18" s="399"/>
      <c r="I18" s="399"/>
      <c r="J18" s="399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6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3" t="s">
        <v>13</v>
      </c>
      <c r="D54" s="395" t="s">
        <v>131</v>
      </c>
      <c r="E54" s="396"/>
      <c r="F54" s="396"/>
      <c r="G54" s="396"/>
      <c r="H54" s="396"/>
      <c r="I54" s="19"/>
      <c r="J54" s="19"/>
    </row>
    <row r="55" spans="3:13">
      <c r="C55" s="394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7">
        <f>'Resumen (G)'!F14-'PorZona (G)'!D58</f>
        <v>65.40552651500002</v>
      </c>
      <c r="E56" s="220">
        <v>138.5527904861805</v>
      </c>
      <c r="F56" s="220">
        <v>0</v>
      </c>
      <c r="G56" s="220">
        <v>111.10315020002542</v>
      </c>
      <c r="H56" s="220">
        <f>SUM(D56:G56)</f>
        <v>315.06146720120591</v>
      </c>
      <c r="I56" s="342"/>
      <c r="K56" s="316"/>
      <c r="L56" s="329"/>
      <c r="M56" s="329"/>
    </row>
    <row r="57" spans="3:13">
      <c r="C57" s="217" t="s">
        <v>9</v>
      </c>
      <c r="D57" s="348">
        <v>0</v>
      </c>
      <c r="E57" s="221">
        <v>2478.8901428288382</v>
      </c>
      <c r="F57" s="349">
        <v>6.4619999999999999E-3</v>
      </c>
      <c r="G57" s="221">
        <v>1063.4158662002433</v>
      </c>
      <c r="H57" s="221">
        <f>SUM(D57:G57)</f>
        <v>3542.3124710290813</v>
      </c>
      <c r="I57" s="342"/>
      <c r="K57" s="316"/>
      <c r="L57" s="329"/>
      <c r="M57" s="329"/>
    </row>
    <row r="58" spans="3:13">
      <c r="C58" s="217" t="s">
        <v>12</v>
      </c>
      <c r="D58" s="348">
        <v>48.747541810000001</v>
      </c>
      <c r="E58" s="221">
        <v>394.57425116716621</v>
      </c>
      <c r="F58" s="221">
        <f>'Resumen (G)'!D15</f>
        <v>63.767898840000001</v>
      </c>
      <c r="G58" s="221">
        <v>46.394722061549082</v>
      </c>
      <c r="H58" s="221">
        <f>SUM(D58:G58)</f>
        <v>553.48441387871526</v>
      </c>
      <c r="I58" s="342"/>
      <c r="K58" s="316"/>
      <c r="L58" s="329"/>
      <c r="M58" s="329"/>
    </row>
    <row r="59" spans="3:13">
      <c r="C59" s="218" t="s">
        <v>11</v>
      </c>
      <c r="D59" s="350">
        <v>0</v>
      </c>
      <c r="E59" s="222">
        <v>0</v>
      </c>
      <c r="F59" s="222">
        <v>0</v>
      </c>
      <c r="G59" s="222">
        <v>33.700000000000003</v>
      </c>
      <c r="H59" s="222">
        <f>SUM(D59:G59)</f>
        <v>33.700000000000003</v>
      </c>
      <c r="I59" s="342"/>
      <c r="K59" s="19"/>
      <c r="L59" s="329"/>
      <c r="M59" s="329"/>
    </row>
    <row r="60" spans="3:13" ht="13.8" thickBot="1">
      <c r="C60" s="116" t="s">
        <v>108</v>
      </c>
      <c r="D60" s="223">
        <f>SUM(D56:D59)</f>
        <v>114.15306832500002</v>
      </c>
      <c r="E60" s="224">
        <f>SUM(E56:E59)</f>
        <v>3012.0171844821848</v>
      </c>
      <c r="F60" s="224">
        <f>SUM(F56:F59)</f>
        <v>63.77436084</v>
      </c>
      <c r="G60" s="224">
        <f>SUM(G56:G59)</f>
        <v>1254.613738461818</v>
      </c>
      <c r="H60" s="224">
        <f>SUM(H56:H59)</f>
        <v>4444.558352109002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5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80" zoomScaleNormal="100" zoomScaleSheetLayoutView="8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400" t="s">
        <v>117</v>
      </c>
      <c r="E6" s="401"/>
      <c r="F6" s="389" t="s">
        <v>74</v>
      </c>
      <c r="G6" s="391" t="s">
        <v>118</v>
      </c>
      <c r="H6" s="392"/>
      <c r="I6" s="389" t="s">
        <v>74</v>
      </c>
      <c r="O6" s="47"/>
      <c r="P6" s="86"/>
      <c r="Q6" s="402" t="s">
        <v>116</v>
      </c>
      <c r="R6" s="402"/>
    </row>
    <row r="7" spans="3:19" ht="12.75" customHeight="1">
      <c r="C7" s="110"/>
      <c r="D7" s="111">
        <v>2020</v>
      </c>
      <c r="E7" s="97">
        <v>2021</v>
      </c>
      <c r="F7" s="390"/>
      <c r="G7" s="243">
        <v>2020</v>
      </c>
      <c r="H7" s="97">
        <v>2021</v>
      </c>
      <c r="I7" s="390"/>
      <c r="N7" s="54"/>
      <c r="O7" s="326">
        <v>2020</v>
      </c>
      <c r="P7" s="328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225">
        <v>2.77704912</v>
      </c>
      <c r="E8" s="289">
        <v>3.1074999999999999</v>
      </c>
      <c r="F8" s="227">
        <f>+E8/D8-1</f>
        <v>0.11899353080222075</v>
      </c>
      <c r="G8" s="244">
        <v>5.6771431200000002</v>
      </c>
      <c r="H8" s="289">
        <v>6.3398521600000004</v>
      </c>
      <c r="I8" s="227">
        <f>+H8/G8-1</f>
        <v>0.11673284009088003</v>
      </c>
      <c r="J8" s="26"/>
      <c r="K8" s="46"/>
      <c r="L8" s="46"/>
      <c r="N8" s="57" t="s">
        <v>10</v>
      </c>
      <c r="O8" s="71">
        <f>SUM(D8,D13,D20,D21,D27,D29,D31)</f>
        <v>288.11864955861887</v>
      </c>
      <c r="P8" s="71">
        <f t="shared" ref="P8" si="0">SUM(E8,E13,E20,E21,E27,E29,E31)</f>
        <v>324.43172935499996</v>
      </c>
      <c r="Q8" s="71">
        <f>SUM(G8,G13,G20,G21,G27,G29,G31)</f>
        <v>609.97620917471193</v>
      </c>
      <c r="R8" s="71">
        <f>SUM(H8,H13,H20,H21,H27,H29,H31)</f>
        <v>646.72286121513923</v>
      </c>
    </row>
    <row r="9" spans="3:19" ht="20.100000000000001" customHeight="1">
      <c r="C9" s="119" t="s">
        <v>18</v>
      </c>
      <c r="D9" s="226">
        <v>258.27177086750009</v>
      </c>
      <c r="E9" s="290">
        <v>221.12992778499992</v>
      </c>
      <c r="F9" s="228">
        <f t="shared" ref="F9:F32" si="1">+E9/D9-1</f>
        <v>-0.14380914707691717</v>
      </c>
      <c r="G9" s="245">
        <v>516.781041835</v>
      </c>
      <c r="H9" s="290">
        <v>503.32922084249986</v>
      </c>
      <c r="I9" s="305">
        <f t="shared" ref="I9:I32" si="2">+H9/G9-1</f>
        <v>-2.6030020266871734E-2</v>
      </c>
      <c r="J9" s="26"/>
      <c r="K9" s="46"/>
      <c r="L9" s="46"/>
      <c r="N9" s="57" t="s">
        <v>9</v>
      </c>
      <c r="O9" s="326">
        <f>SUM(D9,D14,D16,D17,D19,D22,D26,D32)</f>
        <v>3776.5718045572862</v>
      </c>
      <c r="P9" s="326">
        <f>SUM(E9,E14,E16,E17,E19,E22,E26,E32)</f>
        <v>3539.7999600975004</v>
      </c>
      <c r="Q9" s="326">
        <f>SUM(G9,G14,G16,G17,G19,G22,G26,G32)</f>
        <v>7734.0081541735344</v>
      </c>
      <c r="R9" s="326">
        <f>SUM(H9,H14,H16,H17,H19,H22,H26,H32)</f>
        <v>7371.1840369482361</v>
      </c>
    </row>
    <row r="10" spans="3:19" ht="20.100000000000001" customHeight="1">
      <c r="C10" s="120" t="s">
        <v>19</v>
      </c>
      <c r="D10" s="226">
        <v>4.5708389522731707</v>
      </c>
      <c r="E10" s="290">
        <v>4.0529999999999999</v>
      </c>
      <c r="F10" s="228">
        <f t="shared" si="1"/>
        <v>-0.11329188310510019</v>
      </c>
      <c r="G10" s="245">
        <v>9.4749407775577232</v>
      </c>
      <c r="H10" s="290">
        <v>8.0621880000000008</v>
      </c>
      <c r="I10" s="228">
        <f t="shared" si="2"/>
        <v>-0.14910412747950452</v>
      </c>
      <c r="J10" s="26"/>
      <c r="K10" s="46"/>
      <c r="L10" s="46"/>
      <c r="N10" s="54" t="s">
        <v>12</v>
      </c>
      <c r="O10" s="326">
        <f>SUM(D10,D11,D12,D15,D18,D24,D25,D28,D30)</f>
        <v>604.55666904217321</v>
      </c>
      <c r="P10" s="326">
        <f t="shared" ref="P10" si="3">SUM(E10,E11,E12,E15,E18,E24,E25,E28,E30)</f>
        <v>546.62020065650154</v>
      </c>
      <c r="Q10" s="326">
        <f>SUM(G10,G11,G12,G15,G18,G24,G25,G28,G30)</f>
        <v>1216.2114763828051</v>
      </c>
      <c r="R10" s="326">
        <f>SUM(H10,H11,H12,H15,H18,H24,H25,H28,H30)</f>
        <v>1227.4392621856682</v>
      </c>
    </row>
    <row r="11" spans="3:19" ht="20.100000000000001" customHeight="1">
      <c r="C11" s="119" t="s">
        <v>20</v>
      </c>
      <c r="D11" s="226">
        <v>120.31312560389904</v>
      </c>
      <c r="E11" s="290">
        <v>96.17439108500011</v>
      </c>
      <c r="F11" s="305">
        <f t="shared" si="1"/>
        <v>-0.20063259430537694</v>
      </c>
      <c r="G11" s="245">
        <v>231.79679869639801</v>
      </c>
      <c r="H11" s="290">
        <v>218.84359798250009</v>
      </c>
      <c r="I11" s="228">
        <f t="shared" si="2"/>
        <v>-5.5881706679063003E-2</v>
      </c>
      <c r="J11" s="26"/>
      <c r="K11" s="46"/>
      <c r="L11" s="46"/>
      <c r="N11" s="327" t="s">
        <v>11</v>
      </c>
      <c r="O11" s="71">
        <f>D23</f>
        <v>71.220861713333349</v>
      </c>
      <c r="P11" s="71">
        <f t="shared" ref="P11" si="4">E23</f>
        <v>33.700000000000003</v>
      </c>
      <c r="Q11" s="71">
        <f>G23</f>
        <v>149.77342044666665</v>
      </c>
      <c r="R11" s="71">
        <f>H23</f>
        <v>67.842565373333329</v>
      </c>
    </row>
    <row r="12" spans="3:19" ht="20.100000000000001" customHeight="1">
      <c r="C12" s="119" t="s">
        <v>21</v>
      </c>
      <c r="D12" s="360">
        <v>0.99414442433441075</v>
      </c>
      <c r="E12" s="321">
        <v>1.0249999999999999</v>
      </c>
      <c r="F12" s="228">
        <f t="shared" si="1"/>
        <v>3.1037317023879352E-2</v>
      </c>
      <c r="G12" s="357">
        <v>1.9057371580160885</v>
      </c>
      <c r="H12" s="321">
        <v>2.0518639999999997</v>
      </c>
      <c r="I12" s="228">
        <f t="shared" si="2"/>
        <v>7.6677332637010709E-2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6">
        <v>104.46881288967957</v>
      </c>
      <c r="E13" s="290">
        <v>119.3992146775</v>
      </c>
      <c r="F13" s="228">
        <f t="shared" si="1"/>
        <v>0.14291731067708335</v>
      </c>
      <c r="G13" s="245">
        <v>229.85892025313325</v>
      </c>
      <c r="H13" s="290">
        <v>258.41508501499999</v>
      </c>
      <c r="I13" s="228">
        <f t="shared" si="2"/>
        <v>0.12423344167117434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6">
        <v>208.24719047531079</v>
      </c>
      <c r="E14" s="290">
        <v>112.65234506499999</v>
      </c>
      <c r="F14" s="228">
        <f t="shared" si="1"/>
        <v>-0.4590450665486614</v>
      </c>
      <c r="G14" s="245">
        <v>413.03427294812155</v>
      </c>
      <c r="H14" s="290">
        <v>381.88996501531079</v>
      </c>
      <c r="I14" s="228">
        <f t="shared" si="2"/>
        <v>-7.5403689167273025E-2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6">
        <v>181.22326849666666</v>
      </c>
      <c r="E15" s="290">
        <v>182.35275319749996</v>
      </c>
      <c r="F15" s="228">
        <f t="shared" si="1"/>
        <v>6.2325589324312425E-3</v>
      </c>
      <c r="G15" s="357">
        <v>378.42708835583329</v>
      </c>
      <c r="H15" s="321">
        <v>383.07132046166663</v>
      </c>
      <c r="I15" s="355">
        <f t="shared" si="2"/>
        <v>1.2272462116840854E-2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6">
        <v>910.93505437249996</v>
      </c>
      <c r="E16" s="290">
        <v>915.46672577250081</v>
      </c>
      <c r="F16" s="228">
        <f t="shared" si="1"/>
        <v>4.9747469682375201E-3</v>
      </c>
      <c r="G16" s="245">
        <v>1934.853694205</v>
      </c>
      <c r="H16" s="290">
        <v>1923.6411391800009</v>
      </c>
      <c r="I16" s="305">
        <f t="shared" si="2"/>
        <v>-5.795040244428451E-3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6">
        <v>343.02847822583328</v>
      </c>
      <c r="E17" s="290">
        <v>293.73935045750022</v>
      </c>
      <c r="F17" s="228">
        <f t="shared" si="1"/>
        <v>-0.14368815097586007</v>
      </c>
      <c r="G17" s="245">
        <v>710.8995254291666</v>
      </c>
      <c r="H17" s="290">
        <v>647.4045835633334</v>
      </c>
      <c r="I17" s="305">
        <f t="shared" si="2"/>
        <v>-8.9316337393109957E-2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6">
        <v>117.95557600416666</v>
      </c>
      <c r="E18" s="290">
        <v>79.604988784001591</v>
      </c>
      <c r="F18" s="228">
        <f t="shared" si="1"/>
        <v>-0.32512737862269747</v>
      </c>
      <c r="G18" s="245">
        <v>223.42097453083332</v>
      </c>
      <c r="H18" s="290">
        <v>227.83935362066831</v>
      </c>
      <c r="I18" s="228">
        <f t="shared" si="2"/>
        <v>1.9776026396417068E-2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6">
        <v>305.59521747916665</v>
      </c>
      <c r="E19" s="290">
        <v>301.94068534750005</v>
      </c>
      <c r="F19" s="228">
        <f t="shared" si="1"/>
        <v>-1.1958734700799889E-2</v>
      </c>
      <c r="G19" s="245">
        <v>645.31401754083322</v>
      </c>
      <c r="H19" s="290">
        <v>623.80572756416677</v>
      </c>
      <c r="I19" s="305">
        <f t="shared" si="2"/>
        <v>-3.3329959356268701E-2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6">
        <v>66.083411946433955</v>
      </c>
      <c r="E20" s="290">
        <v>89.884203130000003</v>
      </c>
      <c r="F20" s="305">
        <f t="shared" si="1"/>
        <v>0.36016286814697995</v>
      </c>
      <c r="G20" s="245">
        <v>135.27378403906792</v>
      </c>
      <c r="H20" s="290">
        <v>155.37880874263396</v>
      </c>
      <c r="I20" s="228">
        <f t="shared" si="2"/>
        <v>0.14862469358999819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60">
        <v>5.1221174216666689</v>
      </c>
      <c r="E21" s="321">
        <v>5.2032265925000001</v>
      </c>
      <c r="F21" s="228">
        <f t="shared" si="1"/>
        <v>1.583508618725471E-2</v>
      </c>
      <c r="G21" s="245">
        <v>10.689023805833337</v>
      </c>
      <c r="H21" s="290">
        <v>10.966033439166669</v>
      </c>
      <c r="I21" s="228">
        <f t="shared" si="2"/>
        <v>2.591533505446586E-2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6">
        <v>1642.5281288486419</v>
      </c>
      <c r="E22" s="290">
        <v>1587.1743247049994</v>
      </c>
      <c r="F22" s="228">
        <f t="shared" si="1"/>
        <v>-3.3700369066095526E-2</v>
      </c>
      <c r="G22" s="245">
        <v>3290.6289382537461</v>
      </c>
      <c r="H22" s="290">
        <v>3072.2629974295919</v>
      </c>
      <c r="I22" s="228">
        <f t="shared" si="2"/>
        <v>-6.6359940583284205E-2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6">
        <v>71.220861713333349</v>
      </c>
      <c r="E23" s="290">
        <v>33.700000000000003</v>
      </c>
      <c r="F23" s="228">
        <f t="shared" si="1"/>
        <v>-0.5268240345694809</v>
      </c>
      <c r="G23" s="245">
        <v>149.77342044666665</v>
      </c>
      <c r="H23" s="290">
        <v>67.842565373333329</v>
      </c>
      <c r="I23" s="228">
        <f t="shared" si="2"/>
        <v>-0.54703200894385917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66">
        <v>0.13921066750000002</v>
      </c>
      <c r="E24" s="367">
        <v>0.11312628499999999</v>
      </c>
      <c r="F24" s="228">
        <f t="shared" si="1"/>
        <v>-0.1873734460758909</v>
      </c>
      <c r="G24" s="358">
        <v>0.30220833750000009</v>
      </c>
      <c r="H24" s="359">
        <v>0.25417624999999999</v>
      </c>
      <c r="I24" s="305">
        <f t="shared" si="2"/>
        <v>-0.15893700318575787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6">
        <v>48.759622338333337</v>
      </c>
      <c r="E25" s="290">
        <v>56.121379785000009</v>
      </c>
      <c r="F25" s="228">
        <f t="shared" si="1"/>
        <v>0.15098060841375882</v>
      </c>
      <c r="G25" s="245">
        <v>99.639192769166669</v>
      </c>
      <c r="H25" s="290">
        <v>121.40618611333336</v>
      </c>
      <c r="I25" s="228">
        <f t="shared" si="2"/>
        <v>0.2184581462296078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6">
        <v>97.689308052499996</v>
      </c>
      <c r="E26" s="290">
        <v>93.249303820000009</v>
      </c>
      <c r="F26" s="228">
        <f t="shared" si="1"/>
        <v>-4.5450257771442626E-2</v>
      </c>
      <c r="G26" s="245">
        <v>203.41155710750002</v>
      </c>
      <c r="H26" s="290">
        <v>198.38776742500002</v>
      </c>
      <c r="I26" s="228">
        <f t="shared" si="2"/>
        <v>-2.4697661007751837E-2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6">
        <v>103.84035818083866</v>
      </c>
      <c r="E27" s="290">
        <v>102.41703495499998</v>
      </c>
      <c r="F27" s="228">
        <f t="shared" si="1"/>
        <v>-1.3706840488357686E-2</v>
      </c>
      <c r="G27" s="245">
        <v>216.75621895667734</v>
      </c>
      <c r="H27" s="290">
        <v>206.79853785833862</v>
      </c>
      <c r="I27" s="228">
        <f t="shared" si="2"/>
        <v>-4.5939540495163134E-2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6">
        <v>118.59662434249999</v>
      </c>
      <c r="E28" s="290">
        <v>115.74896508249998</v>
      </c>
      <c r="F28" s="228">
        <f t="shared" si="1"/>
        <v>-2.4011301129247542E-2</v>
      </c>
      <c r="G28" s="245">
        <v>246.16120978249998</v>
      </c>
      <c r="H28" s="290">
        <v>239.80951923750001</v>
      </c>
      <c r="I28" s="228">
        <f t="shared" si="2"/>
        <v>-2.580297094985895E-2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6">
        <v>4.7263519999999994</v>
      </c>
      <c r="E29" s="321">
        <v>3.32</v>
      </c>
      <c r="F29" s="228">
        <f t="shared" si="1"/>
        <v>-0.29755549311604379</v>
      </c>
      <c r="G29" s="245">
        <v>9.5200230000000019</v>
      </c>
      <c r="H29" s="290">
        <v>6.6234459999999995</v>
      </c>
      <c r="I29" s="305">
        <f t="shared" si="2"/>
        <v>-0.30426155483027739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360">
        <v>12.004258212500002</v>
      </c>
      <c r="E30" s="321">
        <v>11.426596437499995</v>
      </c>
      <c r="F30" s="228">
        <f t="shared" si="1"/>
        <v>-4.8121405319196509E-2</v>
      </c>
      <c r="G30" s="245">
        <v>25.083325975000001</v>
      </c>
      <c r="H30" s="290">
        <v>26.101056519999993</v>
      </c>
      <c r="I30" s="228">
        <f t="shared" si="2"/>
        <v>4.0573987118547983E-2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60">
        <v>1.1005480000000003</v>
      </c>
      <c r="E31" s="321">
        <v>1.1005499999999999</v>
      </c>
      <c r="F31" s="305">
        <f>+E31/D31-1</f>
        <v>1.8172764837398603E-6</v>
      </c>
      <c r="G31" s="245">
        <v>2.2010960000000006</v>
      </c>
      <c r="H31" s="290">
        <v>2.201098</v>
      </c>
      <c r="I31" s="228">
        <f t="shared" si="2"/>
        <v>9.0863824175890784E-7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10.276656235833334</v>
      </c>
      <c r="E32" s="291">
        <v>14.447297144999999</v>
      </c>
      <c r="F32" s="229">
        <f t="shared" si="1"/>
        <v>0.40583637454215826</v>
      </c>
      <c r="G32" s="246">
        <v>19.085106854166668</v>
      </c>
      <c r="H32" s="291">
        <v>20.462635928333334</v>
      </c>
      <c r="I32" s="229">
        <f t="shared" si="2"/>
        <v>7.2178221725068603E-2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40" t="s">
        <v>108</v>
      </c>
      <c r="D33" s="112">
        <f>SUM(D8:D32)</f>
        <v>4740.4679848714113</v>
      </c>
      <c r="E33" s="292">
        <f>SUM(E8:E32)</f>
        <v>4444.5518901090027</v>
      </c>
      <c r="F33" s="117">
        <f>+E33/D33-1</f>
        <v>-6.2423392733963468E-2</v>
      </c>
      <c r="G33" s="247">
        <f>SUM(G8:G32)</f>
        <v>9709.9692601777188</v>
      </c>
      <c r="H33" s="292">
        <f>SUM(H8:H32)</f>
        <v>9313.1887257223789</v>
      </c>
      <c r="I33" s="248">
        <f>+H33/G33-1</f>
        <v>-4.0863212212484123E-2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6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1587.1743247049994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915.46672577250081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301.94068534750005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293.73935045750022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221.12992778499992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182.35275319749996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22</v>
      </c>
      <c r="O50" s="52">
        <v>119.3992146775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36</v>
      </c>
      <c r="O51" s="53">
        <v>115.74896508249998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59</v>
      </c>
      <c r="O52" s="53">
        <v>112.65234506499999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35</v>
      </c>
      <c r="O53" s="53">
        <v>102.41703495499998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20</v>
      </c>
      <c r="O54" s="53">
        <v>96.17439108500011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34</v>
      </c>
      <c r="O55" s="52">
        <v>93.249303820000009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28</v>
      </c>
      <c r="O56" s="53">
        <v>89.884203130000003</v>
      </c>
      <c r="P56" s="8"/>
      <c r="S56" s="91"/>
    </row>
    <row r="57" spans="3:19">
      <c r="N57" s="51" t="s">
        <v>26</v>
      </c>
      <c r="O57" s="52">
        <v>79.604988784001591</v>
      </c>
      <c r="S57" s="91"/>
    </row>
    <row r="58" spans="3:19">
      <c r="N58" s="51" t="s">
        <v>33</v>
      </c>
      <c r="O58" s="52">
        <v>56.121379785000009</v>
      </c>
      <c r="S58" s="122"/>
    </row>
    <row r="59" spans="3:19">
      <c r="N59" s="51" t="s">
        <v>31</v>
      </c>
      <c r="O59" s="52">
        <v>33.700000000000003</v>
      </c>
      <c r="S59" s="91"/>
    </row>
    <row r="60" spans="3:19">
      <c r="N60" s="51" t="s">
        <v>40</v>
      </c>
      <c r="O60" s="52">
        <v>14.447297144999999</v>
      </c>
      <c r="S60" s="91"/>
    </row>
    <row r="61" spans="3:19">
      <c r="N61" s="51" t="s">
        <v>38</v>
      </c>
      <c r="O61" s="52">
        <v>11.426596437499995</v>
      </c>
      <c r="S61" s="91"/>
    </row>
    <row r="62" spans="3:19">
      <c r="N62" s="51" t="s">
        <v>29</v>
      </c>
      <c r="O62" s="52">
        <v>5.2032265925000001</v>
      </c>
      <c r="S62" s="91"/>
    </row>
    <row r="63" spans="3:19">
      <c r="N63" s="50" t="s">
        <v>19</v>
      </c>
      <c r="O63" s="53">
        <v>4.0529999999999999</v>
      </c>
      <c r="S63" s="91"/>
    </row>
    <row r="64" spans="3:19">
      <c r="N64" s="50" t="s">
        <v>37</v>
      </c>
      <c r="O64" s="53">
        <v>3.32</v>
      </c>
      <c r="S64" s="91"/>
    </row>
    <row r="65" spans="6:19">
      <c r="N65" s="50" t="s">
        <v>17</v>
      </c>
      <c r="O65" s="53">
        <v>3.1074999999999999</v>
      </c>
      <c r="S65" s="91"/>
    </row>
    <row r="66" spans="6:19">
      <c r="N66" s="50" t="s">
        <v>39</v>
      </c>
      <c r="O66" s="53">
        <v>1.1005499999999999</v>
      </c>
      <c r="S66" s="91"/>
    </row>
    <row r="67" spans="6:19">
      <c r="N67" s="51" t="s">
        <v>21</v>
      </c>
      <c r="O67" s="52">
        <v>1.0249999999999999</v>
      </c>
      <c r="S67" s="91"/>
    </row>
    <row r="68" spans="6:19">
      <c r="N68" s="9" t="s">
        <v>32</v>
      </c>
      <c r="O68" s="52">
        <v>0.11312628499999999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2021-03-22T04:22:59Z</dcterms:modified>
</cp:coreProperties>
</file>